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RhJWv1TErCKsIetJohHo5fOczNNIYbKqDbomZHZa7xxOicViYn7aV1Hr/PRzzpfcaCJ9BTJ9vgP0V6VZ0P3/Fg==" workbookSaltValue="BSBDkH+j8xoeEHlFi2wYLw==" workbookSpinCount="100000" lockStructure="1"/>
  <bookViews>
    <workbookView xWindow="0" yWindow="0" windowWidth="28800" windowHeight="12435"/>
  </bookViews>
  <sheets>
    <sheet name="ВСЕГО" sheetId="2" r:id="rId1"/>
    <sheet name="Свод по СМР" sheetId="1" r:id="rId2"/>
    <sheet name="Иностранцы" sheetId="4" r:id="rId3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6" i="2" l="1"/>
  <c r="E78" i="2"/>
  <c r="E69" i="2"/>
  <c r="E29" i="2"/>
  <c r="E85" i="2"/>
  <c r="E4" i="2"/>
  <c r="E93" i="2"/>
  <c r="AD14" i="1"/>
  <c r="U14" i="1"/>
  <c r="F15" i="4"/>
  <c r="F14" i="4"/>
  <c r="F13" i="4"/>
  <c r="F8" i="4"/>
  <c r="F9" i="4"/>
  <c r="F7" i="4"/>
  <c r="G41" i="1"/>
  <c r="F11" i="4"/>
  <c r="F19" i="4"/>
  <c r="G42" i="1"/>
  <c r="G38" i="1"/>
  <c r="G39" i="1"/>
  <c r="U37" i="1"/>
  <c r="N20" i="4"/>
  <c r="D78" i="2" s="1"/>
  <c r="I10" i="4"/>
  <c r="I18" i="4"/>
  <c r="S40" i="1"/>
  <c r="F115" i="2"/>
  <c r="D61" i="2"/>
  <c r="D93" i="2"/>
  <c r="C59" i="2"/>
  <c r="B59" i="2"/>
  <c r="AC36" i="1"/>
  <c r="X36" i="1"/>
  <c r="Z36" i="1" s="1"/>
  <c r="B70" i="2"/>
  <c r="AG36" i="1" l="1"/>
  <c r="D59" i="2" s="1"/>
  <c r="F59" i="2" s="1"/>
  <c r="F78" i="2"/>
  <c r="B77" i="2"/>
  <c r="B78" i="2"/>
  <c r="B79" i="2"/>
  <c r="B80" i="2"/>
  <c r="B76" i="2"/>
  <c r="J21" i="4"/>
  <c r="N21" i="4" s="1"/>
  <c r="J11" i="4"/>
  <c r="N11" i="4" s="1"/>
  <c r="D70" i="2" s="1"/>
  <c r="F70" i="2" s="1"/>
  <c r="X37" i="1"/>
  <c r="C76" i="2"/>
  <c r="C22" i="2"/>
  <c r="B22" i="2"/>
  <c r="AG43" i="1"/>
  <c r="X43" i="1"/>
  <c r="F89" i="2"/>
  <c r="F83" i="2"/>
  <c r="F62" i="2"/>
  <c r="F63" i="2"/>
  <c r="AD37" i="1"/>
  <c r="D79" i="2" l="1"/>
  <c r="E116" i="2"/>
  <c r="J10" i="4"/>
  <c r="N10" i="4" s="1"/>
  <c r="D69" i="2" s="1"/>
  <c r="F69" i="2" s="1"/>
  <c r="C56" i="2"/>
  <c r="B56" i="2"/>
  <c r="E74" i="2"/>
  <c r="AC17" i="1"/>
  <c r="AC21" i="1"/>
  <c r="AC33" i="1"/>
  <c r="AG33" i="1" s="1"/>
  <c r="D56" i="2" s="1"/>
  <c r="F56" i="2" s="1"/>
  <c r="X33" i="1"/>
  <c r="AC42" i="1"/>
  <c r="F10" i="2"/>
  <c r="B68" i="2"/>
  <c r="E24" i="2"/>
  <c r="D4" i="2"/>
  <c r="C57" i="2"/>
  <c r="C58" i="2"/>
  <c r="C46" i="2"/>
  <c r="X22" i="1"/>
  <c r="Z22" i="1" s="1"/>
  <c r="AG22" i="1" s="1"/>
  <c r="J20" i="4"/>
  <c r="B69" i="2"/>
  <c r="D116" i="2" l="1"/>
  <c r="F116" i="2"/>
  <c r="F7" i="2"/>
  <c r="J9" i="4"/>
  <c r="N9" i="4" s="1"/>
  <c r="D68" i="2" s="1"/>
  <c r="F68" i="2" s="1"/>
  <c r="D87" i="2"/>
  <c r="E34" i="2" l="1"/>
  <c r="E91" i="2"/>
  <c r="B67" i="2"/>
  <c r="AG45" i="1"/>
  <c r="AG46" i="1"/>
  <c r="J8" i="4"/>
  <c r="N8" i="4" s="1"/>
  <c r="D67" i="2" s="1"/>
  <c r="F67" i="2" s="1"/>
  <c r="AF17" i="1"/>
  <c r="E81" i="2" l="1"/>
  <c r="D84" i="2"/>
  <c r="F84" i="2" s="1"/>
  <c r="D7" i="2"/>
  <c r="AG5" i="1"/>
  <c r="D91" i="2" l="1"/>
  <c r="F91" i="2"/>
  <c r="AF47" i="1"/>
  <c r="AE47" i="1"/>
  <c r="AB47" i="1"/>
  <c r="AG8" i="1"/>
  <c r="AG10" i="1"/>
  <c r="AG11" i="1"/>
  <c r="AG6" i="1"/>
  <c r="E64" i="2"/>
  <c r="E16" i="2"/>
  <c r="E7" i="2"/>
  <c r="C72" i="2"/>
  <c r="C73" i="2"/>
  <c r="C71" i="2"/>
  <c r="B72" i="2"/>
  <c r="B73" i="2"/>
  <c r="B71" i="2"/>
  <c r="J15" i="4"/>
  <c r="N15" i="4" s="1"/>
  <c r="D73" i="2" s="1"/>
  <c r="J14" i="4"/>
  <c r="N14" i="4" s="1"/>
  <c r="D72" i="2" s="1"/>
  <c r="F72" i="2" s="1"/>
  <c r="J13" i="4"/>
  <c r="N13" i="4" s="1"/>
  <c r="D71" i="2" s="1"/>
  <c r="AC32" i="1"/>
  <c r="AC34" i="1"/>
  <c r="AC35" i="1"/>
  <c r="C55" i="2"/>
  <c r="B55" i="2"/>
  <c r="C37" i="2"/>
  <c r="C38" i="2"/>
  <c r="C39" i="2"/>
  <c r="C40" i="2"/>
  <c r="C41" i="2"/>
  <c r="C42" i="2"/>
  <c r="C43" i="2"/>
  <c r="C44" i="2"/>
  <c r="C45" i="2"/>
  <c r="C47" i="2"/>
  <c r="C48" i="2"/>
  <c r="C49" i="2"/>
  <c r="C50" i="2"/>
  <c r="C51" i="2"/>
  <c r="C52" i="2"/>
  <c r="C53" i="2"/>
  <c r="C54" i="2"/>
  <c r="B45" i="2"/>
  <c r="E117" i="2" l="1"/>
  <c r="F16" i="2"/>
  <c r="AD47" i="1"/>
  <c r="B66" i="2"/>
  <c r="J7" i="4"/>
  <c r="N7" i="4" s="1"/>
  <c r="D66" i="2" s="1"/>
  <c r="F66" i="2" s="1"/>
  <c r="X32" i="1"/>
  <c r="Z32" i="1" s="1"/>
  <c r="AC31" i="1"/>
  <c r="AG16" i="1"/>
  <c r="D40" i="2" s="1"/>
  <c r="F40" i="2" s="1"/>
  <c r="B54" i="2"/>
  <c r="X21" i="1"/>
  <c r="Z21" i="1" s="1"/>
  <c r="X31" i="1"/>
  <c r="Z31" i="1" s="1"/>
  <c r="AG21" i="1" l="1"/>
  <c r="D45" i="2" s="1"/>
  <c r="F45" i="2" s="1"/>
  <c r="AG31" i="1"/>
  <c r="D54" i="2" s="1"/>
  <c r="AG32" i="1"/>
  <c r="D55" i="2" s="1"/>
  <c r="F55" i="2" s="1"/>
  <c r="B13" i="2" l="1"/>
  <c r="C30" i="2"/>
  <c r="B30" i="2"/>
  <c r="B37" i="4"/>
  <c r="E23" i="4"/>
  <c r="G23" i="4"/>
  <c r="X42" i="1"/>
  <c r="Z42" i="1" s="1"/>
  <c r="AG42" i="1" s="1"/>
  <c r="J18" i="4"/>
  <c r="B38" i="4"/>
  <c r="N18" i="4" l="1"/>
  <c r="D76" i="2" s="1"/>
  <c r="F76" i="2" s="1"/>
  <c r="D30" i="2"/>
  <c r="F30" i="2" s="1"/>
  <c r="H23" i="4"/>
  <c r="I23" i="4"/>
  <c r="J19" i="4"/>
  <c r="N19" i="4" s="1"/>
  <c r="D77" i="2" s="1"/>
  <c r="F77" i="2" s="1"/>
  <c r="J6" i="4"/>
  <c r="D23" i="4" l="1"/>
  <c r="J22" i="4"/>
  <c r="N22" i="4" s="1"/>
  <c r="F80" i="2" l="1"/>
  <c r="F81" i="2" s="1"/>
  <c r="B53" i="2"/>
  <c r="B57" i="2"/>
  <c r="C77" i="2"/>
  <c r="AC5" i="1"/>
  <c r="B52" i="2"/>
  <c r="AC30" i="1"/>
  <c r="AC29" i="1"/>
  <c r="X29" i="1"/>
  <c r="Z29" i="1" s="1"/>
  <c r="X30" i="1"/>
  <c r="Z30" i="1" s="1"/>
  <c r="AG29" i="1" l="1"/>
  <c r="D52" i="2" s="1"/>
  <c r="F52" i="2" s="1"/>
  <c r="AG30" i="1"/>
  <c r="D53" i="2" s="1"/>
  <c r="F53" i="2" s="1"/>
  <c r="B40" i="2" l="1"/>
  <c r="X17" i="1"/>
  <c r="B50" i="2"/>
  <c r="AC27" i="1"/>
  <c r="X27" i="1"/>
  <c r="Z27" i="1" s="1"/>
  <c r="X28" i="1"/>
  <c r="AG27" i="1" l="1"/>
  <c r="D50" i="2" s="1"/>
  <c r="F50" i="2" s="1"/>
  <c r="C29" i="2" l="1"/>
  <c r="B29" i="2"/>
  <c r="B51" i="2"/>
  <c r="AC28" i="1"/>
  <c r="Z28" i="1"/>
  <c r="AG28" i="1" l="1"/>
  <c r="D51" i="2" s="1"/>
  <c r="F51" i="2" s="1"/>
  <c r="AC12" i="1" l="1"/>
  <c r="AC13" i="1"/>
  <c r="AC14" i="1"/>
  <c r="AC15" i="1"/>
  <c r="AC18" i="1"/>
  <c r="AC19" i="1"/>
  <c r="AC20" i="1"/>
  <c r="AC23" i="1"/>
  <c r="AC24" i="1"/>
  <c r="AC25" i="1"/>
  <c r="AC26" i="1"/>
  <c r="C28" i="2" l="1"/>
  <c r="AC37" i="1"/>
  <c r="AC38" i="1" l="1"/>
  <c r="AC39" i="1"/>
  <c r="AC40" i="1"/>
  <c r="X39" i="1"/>
  <c r="Z39" i="1" s="1"/>
  <c r="AG39" i="1" s="1"/>
  <c r="D28" i="2" l="1"/>
  <c r="N6" i="4"/>
  <c r="B32" i="2" l="1"/>
  <c r="C32" i="2"/>
  <c r="D32" i="2"/>
  <c r="F32" i="2" s="1"/>
  <c r="B49" i="2" l="1"/>
  <c r="X26" i="1" l="1"/>
  <c r="Z26" i="1" s="1"/>
  <c r="AG26" i="1" s="1"/>
  <c r="D49" i="2" s="1"/>
  <c r="F49" i="2" s="1"/>
  <c r="O47" i="1" l="1"/>
  <c r="C33" i="2" l="1"/>
  <c r="C31" i="2"/>
  <c r="B33" i="2"/>
  <c r="B31" i="2"/>
  <c r="AC44" i="1" l="1"/>
  <c r="AG44" i="1" s="1"/>
  <c r="D31" i="2" s="1"/>
  <c r="X13" i="1"/>
  <c r="X15" i="1"/>
  <c r="X18" i="1"/>
  <c r="X19" i="1"/>
  <c r="X20" i="1"/>
  <c r="X23" i="1"/>
  <c r="X24" i="1"/>
  <c r="X25" i="1"/>
  <c r="X34" i="1"/>
  <c r="X35" i="1"/>
  <c r="X38" i="1"/>
  <c r="X40" i="1"/>
  <c r="X41" i="1"/>
  <c r="C70" i="1" l="1"/>
  <c r="C69" i="1"/>
  <c r="C68" i="1"/>
  <c r="V47" i="1"/>
  <c r="B47" i="2" l="1"/>
  <c r="B48" i="2"/>
  <c r="B58" i="2"/>
  <c r="Z25" i="1" l="1"/>
  <c r="AG25" i="1" s="1"/>
  <c r="D48" i="2" s="1"/>
  <c r="F48" i="2" s="1"/>
  <c r="X12" i="1"/>
  <c r="X47" i="1" s="1"/>
  <c r="W47" i="1"/>
  <c r="U47" i="1"/>
  <c r="Z24" i="1"/>
  <c r="AG24" i="1" s="1"/>
  <c r="D47" i="2" s="1"/>
  <c r="F47" i="2" s="1"/>
  <c r="C60" i="1" l="1"/>
  <c r="T47" i="1"/>
  <c r="S47" i="1"/>
  <c r="R47" i="1"/>
  <c r="Q47" i="1"/>
  <c r="P47" i="1"/>
  <c r="N47" i="1"/>
  <c r="M47" i="1"/>
  <c r="L47" i="1"/>
  <c r="K47" i="1"/>
  <c r="I47" i="1"/>
  <c r="H47" i="1"/>
  <c r="F47" i="1"/>
  <c r="E47" i="1"/>
  <c r="J47" i="1" l="1"/>
  <c r="AC41" i="1" l="1"/>
  <c r="G47" i="1" l="1"/>
  <c r="B15" i="2" l="1"/>
  <c r="AC9" i="1" l="1"/>
  <c r="AG9" i="1" s="1"/>
  <c r="B37" i="2" l="1"/>
  <c r="B38" i="2"/>
  <c r="B39" i="2"/>
  <c r="B41" i="2"/>
  <c r="B42" i="2"/>
  <c r="B43" i="2"/>
  <c r="B44" i="2"/>
  <c r="B46" i="2"/>
  <c r="B36" i="2"/>
  <c r="C27" i="2"/>
  <c r="C26" i="2"/>
  <c r="B27" i="2"/>
  <c r="B26" i="2"/>
  <c r="B39" i="4" l="1"/>
  <c r="B36" i="4"/>
  <c r="B35" i="4"/>
  <c r="B34" i="4"/>
  <c r="Z34" i="1" l="1"/>
  <c r="D81" i="2" l="1"/>
  <c r="AG34" i="1"/>
  <c r="D57" i="2" s="1"/>
  <c r="F57" i="2" s="1"/>
  <c r="D33" i="2"/>
  <c r="F33" i="2" s="1"/>
  <c r="C36" i="2" l="1"/>
  <c r="Y47" i="1"/>
  <c r="Z23" i="1" l="1"/>
  <c r="AG23" i="1" s="1"/>
  <c r="AH23" i="1" l="1"/>
  <c r="D46" i="2" s="1"/>
  <c r="Z20" i="1"/>
  <c r="AG20" i="1" s="1"/>
  <c r="D44" i="2" s="1"/>
  <c r="Z14" i="1" l="1"/>
  <c r="Z15" i="1"/>
  <c r="Z17" i="1"/>
  <c r="Z18" i="1"/>
  <c r="Z19" i="1"/>
  <c r="AG19" i="1" l="1"/>
  <c r="D43" i="2" s="1"/>
  <c r="F43" i="2" s="1"/>
  <c r="AG17" i="1"/>
  <c r="D41" i="2" s="1"/>
  <c r="F41" i="2" s="1"/>
  <c r="AG14" i="1"/>
  <c r="AG18" i="1"/>
  <c r="D42" i="2" s="1"/>
  <c r="F42" i="2" s="1"/>
  <c r="AG15" i="1"/>
  <c r="D39" i="2" s="1"/>
  <c r="Z13" i="1"/>
  <c r="AG13" i="1" s="1"/>
  <c r="Z35" i="1"/>
  <c r="AG35" i="1" s="1"/>
  <c r="D58" i="2" s="1"/>
  <c r="Z12" i="1"/>
  <c r="Z40" i="1"/>
  <c r="AG40" i="1" s="1"/>
  <c r="D38" i="2" l="1"/>
  <c r="AG12" i="1"/>
  <c r="D36" i="2" s="1"/>
  <c r="F36" i="2" s="1"/>
  <c r="D37" i="2"/>
  <c r="Z41" i="1"/>
  <c r="AG41" i="1" s="1"/>
  <c r="Z38" i="1"/>
  <c r="AG38" i="1" s="1"/>
  <c r="F64" i="2" l="1"/>
  <c r="D64" i="2"/>
  <c r="D29" i="2"/>
  <c r="F29" i="2" s="1"/>
  <c r="D27" i="2"/>
  <c r="F27" i="2" s="1"/>
  <c r="Z37" i="1"/>
  <c r="AG37" i="1" s="1"/>
  <c r="D26" i="2" l="1"/>
  <c r="F26" i="2" s="1"/>
  <c r="F34" i="2" s="1"/>
  <c r="Z47" i="1"/>
  <c r="D34" i="2" l="1"/>
  <c r="D19" i="2"/>
  <c r="D16" i="2" l="1"/>
  <c r="B10" i="2" l="1"/>
  <c r="B11" i="2"/>
  <c r="B12" i="2"/>
  <c r="K23" i="4" l="1"/>
  <c r="L23" i="4" l="1"/>
  <c r="C62" i="1" l="1"/>
  <c r="C67" i="1" l="1"/>
  <c r="C66" i="1"/>
  <c r="C65" i="1"/>
  <c r="C64" i="1"/>
  <c r="C63" i="1"/>
  <c r="C61" i="1"/>
  <c r="C59" i="1"/>
  <c r="C58" i="1"/>
  <c r="C57" i="1"/>
  <c r="C56" i="1"/>
  <c r="C55" i="1"/>
  <c r="C54" i="1"/>
  <c r="C53" i="1"/>
  <c r="C52" i="1"/>
  <c r="B75" i="2" l="1"/>
  <c r="M23" i="4" l="1"/>
  <c r="AC7" i="1" l="1"/>
  <c r="AG7" i="1" l="1"/>
  <c r="AG47" i="1" s="1"/>
  <c r="AC47" i="1"/>
  <c r="AG50" i="1" s="1"/>
  <c r="D51" i="1" l="1"/>
  <c r="E49" i="1" l="1"/>
  <c r="D20" i="2"/>
  <c r="C11" i="2"/>
  <c r="C10" i="2"/>
  <c r="D24" i="2" l="1"/>
  <c r="F24" i="2"/>
  <c r="D60" i="1"/>
  <c r="D69" i="1"/>
  <c r="D68" i="1"/>
  <c r="D70" i="1"/>
  <c r="D52" i="1"/>
  <c r="D56" i="1"/>
  <c r="D61" i="1"/>
  <c r="D65" i="1"/>
  <c r="D53" i="1"/>
  <c r="D57" i="1"/>
  <c r="D62" i="1"/>
  <c r="D66" i="1"/>
  <c r="D55" i="1"/>
  <c r="D59" i="1"/>
  <c r="D64" i="1"/>
  <c r="D54" i="1"/>
  <c r="D58" i="1"/>
  <c r="D63" i="1"/>
  <c r="D67" i="1"/>
  <c r="D72" i="1" l="1"/>
  <c r="F23" i="4" l="1"/>
  <c r="J25" i="4" s="1"/>
  <c r="N26" i="4" l="1"/>
  <c r="N23" i="4"/>
  <c r="J23" i="4"/>
  <c r="D74" i="2" l="1"/>
  <c r="D117" i="2" s="1"/>
  <c r="C30" i="4"/>
  <c r="F74" i="2" l="1"/>
  <c r="C36" i="4"/>
  <c r="C39" i="4"/>
  <c r="C35" i="4"/>
  <c r="C37" i="4"/>
  <c r="C38" i="4"/>
  <c r="C34" i="4"/>
  <c r="F117" i="2" l="1"/>
  <c r="E119" i="2" s="1"/>
  <c r="C40" i="4"/>
</calcChain>
</file>

<file path=xl/comments1.xml><?xml version="1.0" encoding="utf-8"?>
<comments xmlns="http://schemas.openxmlformats.org/spreadsheetml/2006/main">
  <authors>
    <author>Автор</author>
  </authors>
  <commentList>
    <comment ref="D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96 361 - 20 800</t>
        </r>
      </text>
    </comment>
  </commentList>
</comments>
</file>

<file path=xl/sharedStrings.xml><?xml version="1.0" encoding="utf-8"?>
<sst xmlns="http://schemas.openxmlformats.org/spreadsheetml/2006/main" count="385" uniqueCount="282">
  <si>
    <t>№ п\п</t>
  </si>
  <si>
    <t>ФИО</t>
  </si>
  <si>
    <t>Должность</t>
  </si>
  <si>
    <t>Власов Алексей</t>
  </si>
  <si>
    <t>Мартынов Юрий</t>
  </si>
  <si>
    <t>Лютов Андрей</t>
  </si>
  <si>
    <t>Ларионов А.</t>
  </si>
  <si>
    <t>Манукян Р.</t>
  </si>
  <si>
    <t>Кармаев С.</t>
  </si>
  <si>
    <t>№ п/п</t>
  </si>
  <si>
    <t>Начислено за месяц, руб.</t>
  </si>
  <si>
    <t>Перечислено на карточку, руб.</t>
  </si>
  <si>
    <t>К доплате (на руки)</t>
  </si>
  <si>
    <t>Администрация</t>
  </si>
  <si>
    <t>Демидов Алексей</t>
  </si>
  <si>
    <t>Генеральный директор</t>
  </si>
  <si>
    <t>Чвилев Олег</t>
  </si>
  <si>
    <t xml:space="preserve">Главный инженер </t>
  </si>
  <si>
    <t xml:space="preserve">Крахоткин Михаил </t>
  </si>
  <si>
    <t>Зам. ген. дир. по производству</t>
  </si>
  <si>
    <t>Отдел строительно-монтажных работ</t>
  </si>
  <si>
    <t>Проектный отдел</t>
  </si>
  <si>
    <t>Демидов Андрей</t>
  </si>
  <si>
    <t>ГИП</t>
  </si>
  <si>
    <t>Швинк К.П.</t>
  </si>
  <si>
    <t>Нач. СДО</t>
  </si>
  <si>
    <t>Короткова Д.А.</t>
  </si>
  <si>
    <t>Завгородний М.В</t>
  </si>
  <si>
    <t>Инженер-проектировщик 2-ой кат.</t>
  </si>
  <si>
    <t>Христианов И.Н</t>
  </si>
  <si>
    <t>Прочий состав</t>
  </si>
  <si>
    <t>Петраченкова М.А.</t>
  </si>
  <si>
    <t>Главный бухгалтер</t>
  </si>
  <si>
    <t>Майорова А.А.</t>
  </si>
  <si>
    <t>Бухгалтер</t>
  </si>
  <si>
    <t>Михеева Виолетта</t>
  </si>
  <si>
    <t>Специалист по кадрам</t>
  </si>
  <si>
    <t>Демидов В.В</t>
  </si>
  <si>
    <t xml:space="preserve">Нач. отдела организации </t>
  </si>
  <si>
    <t>Галузо Ю.А</t>
  </si>
  <si>
    <t>Инженер ПТО</t>
  </si>
  <si>
    <t>Гусенкова А.В.</t>
  </si>
  <si>
    <t>Юрисконсульт</t>
  </si>
  <si>
    <t>Князева С.А</t>
  </si>
  <si>
    <t>Королева Л.М</t>
  </si>
  <si>
    <t>Коротков Г.В.</t>
  </si>
  <si>
    <t>Геодезист</t>
  </si>
  <si>
    <t>х</t>
  </si>
  <si>
    <t>Итого:</t>
  </si>
  <si>
    <t>Заработная плата :</t>
  </si>
  <si>
    <t>Суюналиев Б.</t>
  </si>
  <si>
    <t>Луцук Олег</t>
  </si>
  <si>
    <t>Дьячков Д.</t>
  </si>
  <si>
    <t>ИТОГО</t>
  </si>
  <si>
    <t>прораб</t>
  </si>
  <si>
    <t>мастер</t>
  </si>
  <si>
    <t>газель</t>
  </si>
  <si>
    <t>Шеховцов А.</t>
  </si>
  <si>
    <t>сварщик</t>
  </si>
  <si>
    <t>монтажник</t>
  </si>
  <si>
    <t>бригадир</t>
  </si>
  <si>
    <t>сварщик ПЭ</t>
  </si>
  <si>
    <t>Итого отработано часов</t>
  </si>
  <si>
    <t>Часовая ставка</t>
  </si>
  <si>
    <t>З\П</t>
  </si>
  <si>
    <t>Выходные,кол-во дней</t>
  </si>
  <si>
    <t>Ставка в выходные</t>
  </si>
  <si>
    <t>Доплата за выходные</t>
  </si>
  <si>
    <t>Итого к выплате по з/п</t>
  </si>
  <si>
    <t>База</t>
  </si>
  <si>
    <t>Прочие(сварка,надбавки,премии,зима)</t>
  </si>
  <si>
    <t>JSB JS205</t>
  </si>
  <si>
    <t xml:space="preserve">Кунцево 10 </t>
  </si>
  <si>
    <t>Марьино</t>
  </si>
  <si>
    <t>Рогова Екатерина</t>
  </si>
  <si>
    <t xml:space="preserve">авнсы </t>
  </si>
  <si>
    <t>Юрьева А.А.</t>
  </si>
  <si>
    <t>МНТ</t>
  </si>
  <si>
    <t>Иванов С.</t>
  </si>
  <si>
    <t>Гуртовенко А.</t>
  </si>
  <si>
    <t>Омаров В.</t>
  </si>
  <si>
    <t>ВОДИТЕЛИ</t>
  </si>
  <si>
    <t>Сонько А.С.</t>
  </si>
  <si>
    <t xml:space="preserve"> </t>
  </si>
  <si>
    <t>CASE</t>
  </si>
  <si>
    <t>кран</t>
  </si>
  <si>
    <t>Гусенков Валера</t>
  </si>
  <si>
    <t>УЗБЕКИ</t>
  </si>
  <si>
    <t>ТАДЖИКИ</t>
  </si>
  <si>
    <t>Алексеев А.А.</t>
  </si>
  <si>
    <t>Штрафы, займы</t>
  </si>
  <si>
    <t>электрик</t>
  </si>
  <si>
    <t>Цаплева Галина</t>
  </si>
  <si>
    <t>Грачева Т.И.</t>
  </si>
  <si>
    <t>Ведущ.специалист по снабжению</t>
  </si>
  <si>
    <t>Заправка техники</t>
  </si>
  <si>
    <t>кладовщик</t>
  </si>
  <si>
    <t>РЕМОНТ</t>
  </si>
  <si>
    <t>Василишин Е.</t>
  </si>
  <si>
    <t xml:space="preserve">водитель </t>
  </si>
  <si>
    <t>ЗАЙМ 41 666 ДО 2028Г.</t>
  </si>
  <si>
    <t>Шостик А.</t>
  </si>
  <si>
    <t>мнт</t>
  </si>
  <si>
    <t xml:space="preserve">Отдел эксплуатации </t>
  </si>
  <si>
    <t xml:space="preserve">Шахбоз </t>
  </si>
  <si>
    <t>Сизоненко О.</t>
  </si>
  <si>
    <t>уборщица кунцево</t>
  </si>
  <si>
    <t>эксплуатация</t>
  </si>
  <si>
    <t>Каримов П.</t>
  </si>
  <si>
    <t>камаз 186</t>
  </si>
  <si>
    <t>камаз 973</t>
  </si>
  <si>
    <t>Козин А.</t>
  </si>
  <si>
    <t>Аврора</t>
  </si>
  <si>
    <t>премии(врезки, сварки,зима,выходные)</t>
  </si>
  <si>
    <t>Бугаев</t>
  </si>
  <si>
    <t>камаз 741</t>
  </si>
  <si>
    <t>JSB 5СХ</t>
  </si>
  <si>
    <t>Гараж</t>
  </si>
  <si>
    <t>Шостик А.Н.</t>
  </si>
  <si>
    <t>Грибенко В.В.</t>
  </si>
  <si>
    <t>РЕМОНТ ИНСТРУМЕНТА</t>
  </si>
  <si>
    <t>Инженер-Геодезист</t>
  </si>
  <si>
    <t>джсби 200</t>
  </si>
  <si>
    <t>Асланов Виталий В.</t>
  </si>
  <si>
    <t>Заведующий складом</t>
  </si>
  <si>
    <t>Начальник ПТО</t>
  </si>
  <si>
    <t>Кузин А.</t>
  </si>
  <si>
    <t>Цаплева Валерия</t>
  </si>
  <si>
    <t>графич.дизайнер</t>
  </si>
  <si>
    <t>Дьячкова Н.С.</t>
  </si>
  <si>
    <t xml:space="preserve">уборщица </t>
  </si>
  <si>
    <t>Сапарбоев Ш.</t>
  </si>
  <si>
    <t>Плискин М.</t>
  </si>
  <si>
    <t xml:space="preserve">АУСТАФФ ВЫЧЕСТЬ </t>
  </si>
  <si>
    <t>Телефон и проездной</t>
  </si>
  <si>
    <t>Абашкин</t>
  </si>
  <si>
    <t>автобус хендай</t>
  </si>
  <si>
    <t>займ до Апреля 2027</t>
  </si>
  <si>
    <t>Солчнечногорск</t>
  </si>
  <si>
    <t xml:space="preserve">Эксплуатация </t>
  </si>
  <si>
    <t>надбавка- многодетный</t>
  </si>
  <si>
    <t>ФОК (ВДНХ)</t>
  </si>
  <si>
    <t>ЗАЙМ ДО ИЮЛЯ 2028 и ИЮНЬ 2026</t>
  </si>
  <si>
    <t>Гольф</t>
  </si>
  <si>
    <t xml:space="preserve"> ГТП-122/СМР21</t>
  </si>
  <si>
    <t>Ларин С.</t>
  </si>
  <si>
    <t>Кузин Юрий</t>
  </si>
  <si>
    <t>ГТП-189/СМР-23</t>
  </si>
  <si>
    <t>Волков В.</t>
  </si>
  <si>
    <t>кран сани 25т</t>
  </si>
  <si>
    <t>нач.участка</t>
  </si>
  <si>
    <t>Шилов Г.С.</t>
  </si>
  <si>
    <t xml:space="preserve">Главный электик </t>
  </si>
  <si>
    <t>Мастер</t>
  </si>
  <si>
    <t>Тычинский И.</t>
  </si>
  <si>
    <t>автомеханик</t>
  </si>
  <si>
    <t xml:space="preserve">                                    Стройка                                                           </t>
  </si>
  <si>
    <t>Хово 459</t>
  </si>
  <si>
    <t>Ерофеева Мария</t>
  </si>
  <si>
    <t>эйчар</t>
  </si>
  <si>
    <t>Ермолаев А.</t>
  </si>
  <si>
    <t>Левочкин В.</t>
  </si>
  <si>
    <t>Мельников В.</t>
  </si>
  <si>
    <t xml:space="preserve"> Сколково- Бизнес Парк</t>
  </si>
  <si>
    <t>Остапенко И.</t>
  </si>
  <si>
    <t>удержания, штрафы и тд</t>
  </si>
  <si>
    <t>\</t>
  </si>
  <si>
    <t>Бабажанов С</t>
  </si>
  <si>
    <t>Тарасов С.О.</t>
  </si>
  <si>
    <t>кран клинцы</t>
  </si>
  <si>
    <t>хино</t>
  </si>
  <si>
    <t>кран сани 55т</t>
  </si>
  <si>
    <t>ЗАЙМ ДО ДЕКАБРЯ 2025</t>
  </si>
  <si>
    <t>Хажиев Б.</t>
  </si>
  <si>
    <t>на карту</t>
  </si>
  <si>
    <t xml:space="preserve">на руки </t>
  </si>
  <si>
    <t>Доставка мат-ов на базу</t>
  </si>
  <si>
    <t>Короткова Ирина</t>
  </si>
  <si>
    <t>спец.по исп. Док</t>
  </si>
  <si>
    <t>Плискин М</t>
  </si>
  <si>
    <t>ЭКСПЛУАТАЦИЯ</t>
  </si>
  <si>
    <t>Кукушин М.</t>
  </si>
  <si>
    <t>наличка</t>
  </si>
  <si>
    <t>охранникк</t>
  </si>
  <si>
    <t>Охмак В.В.</t>
  </si>
  <si>
    <t xml:space="preserve"> АУСТАФФ ВЫЧЕСТЬ </t>
  </si>
  <si>
    <t xml:space="preserve">Ясеновский </t>
  </si>
  <si>
    <t>Назарзода Олими</t>
  </si>
  <si>
    <t>Назаров Комилжон</t>
  </si>
  <si>
    <t>Курбонов Сулаймон</t>
  </si>
  <si>
    <t>Зокиров П.</t>
  </si>
  <si>
    <t>донгфенг</t>
  </si>
  <si>
    <t>Симоненко Г.</t>
  </si>
  <si>
    <t>Харитонова А.И.</t>
  </si>
  <si>
    <t>диспетчер</t>
  </si>
  <si>
    <t>Кнерцер Валерия</t>
  </si>
  <si>
    <t>Аллабергенов Г.</t>
  </si>
  <si>
    <t>Киселев Е.С.</t>
  </si>
  <si>
    <t>Поповец А.Д.</t>
  </si>
  <si>
    <t>удерживать 8 333,33 до апреля 2026</t>
  </si>
  <si>
    <t>Меликулов У.</t>
  </si>
  <si>
    <t xml:space="preserve">оклад </t>
  </si>
  <si>
    <t>Пировгов</t>
  </si>
  <si>
    <t>Ветклиника</t>
  </si>
  <si>
    <t>Карасева Д.</t>
  </si>
  <si>
    <t>инженер ПТО</t>
  </si>
  <si>
    <t xml:space="preserve">   за многодетный </t>
  </si>
  <si>
    <t>ИП Власов</t>
  </si>
  <si>
    <t>Электрик-Шостик</t>
  </si>
  <si>
    <t xml:space="preserve"> оклад 100к</t>
  </si>
  <si>
    <t>Нуриддинов Ф.С.</t>
  </si>
  <si>
    <t>склад</t>
  </si>
  <si>
    <t>Сабиров Х.Х.У.</t>
  </si>
  <si>
    <t>КУНЦЕВО</t>
  </si>
  <si>
    <t>Чистяков С.Е.</t>
  </si>
  <si>
    <t xml:space="preserve">Руководитель службы эксплуатации </t>
  </si>
  <si>
    <t>Каут А.</t>
  </si>
  <si>
    <r>
      <rPr>
        <b/>
        <sz val="11"/>
        <color theme="8" tint="-0.249977111117893"/>
        <rFont val="Calibri"/>
        <family val="2"/>
        <charset val="204"/>
        <scheme val="minor"/>
      </rPr>
      <t>ИП Власов</t>
    </r>
    <r>
      <rPr>
        <b/>
        <sz val="11"/>
        <color theme="1"/>
        <rFont val="Calibri"/>
        <family val="2"/>
        <charset val="204"/>
        <scheme val="minor"/>
      </rPr>
      <t xml:space="preserve"> займ 41 666,67 </t>
    </r>
  </si>
  <si>
    <t xml:space="preserve">складывать займ и мат.выгоду </t>
  </si>
  <si>
    <t>Истра</t>
  </si>
  <si>
    <t>Стецуренко С.</t>
  </si>
  <si>
    <t>ловол</t>
  </si>
  <si>
    <t>заречье</t>
  </si>
  <si>
    <t>Назаров О.М.</t>
  </si>
  <si>
    <r>
      <rPr>
        <b/>
        <sz val="11"/>
        <rFont val="Calibri"/>
        <family val="2"/>
        <charset val="204"/>
        <scheme val="minor"/>
      </rPr>
      <t>ДОБАВИЛА  8000 ЗА ИСП. ОБОРУДОВАНИЯ</t>
    </r>
    <r>
      <rPr>
        <b/>
        <sz val="11"/>
        <color rgb="FF0070C0"/>
        <rFont val="Calibri"/>
        <family val="2"/>
        <charset val="204"/>
        <scheme val="minor"/>
      </rPr>
      <t xml:space="preserve">    </t>
    </r>
  </si>
  <si>
    <t>камаз 622</t>
  </si>
  <si>
    <t>Рук договорн.отдела</t>
  </si>
  <si>
    <t>Лапина О.В.</t>
  </si>
  <si>
    <t>инженер-сметчик</t>
  </si>
  <si>
    <t xml:space="preserve">Павлова Татьяна </t>
  </si>
  <si>
    <t>Инженер-проектрировщик</t>
  </si>
  <si>
    <t>Носов Н.С.</t>
  </si>
  <si>
    <t>сис.админ</t>
  </si>
  <si>
    <t>Дранников А.С.</t>
  </si>
  <si>
    <t>Сабиров А.</t>
  </si>
  <si>
    <t>Зареченские дачи</t>
  </si>
  <si>
    <t>ДОБАВИЛА ЗА РАБОТУ 4 НОЯБРЯ</t>
  </si>
  <si>
    <t>Расулов Ф.</t>
  </si>
  <si>
    <t xml:space="preserve">МАРТЫНОВ ВСЕ НА КАРТУ </t>
  </si>
  <si>
    <t xml:space="preserve">НА КАРТУ МАРТЫНОВ            </t>
  </si>
  <si>
    <t xml:space="preserve">ГИТЭП </t>
  </si>
  <si>
    <t>Титычко А.</t>
  </si>
  <si>
    <t xml:space="preserve">Зареченские дачи </t>
  </si>
  <si>
    <t>камаз 156</t>
  </si>
  <si>
    <t>JSB 205</t>
  </si>
  <si>
    <t>сани 270</t>
  </si>
  <si>
    <t>Козин С.</t>
  </si>
  <si>
    <t>мойщик</t>
  </si>
  <si>
    <t>ЗАЙМ</t>
  </si>
  <si>
    <r>
      <rPr>
        <b/>
        <sz val="10"/>
        <color rgb="FF7030A0"/>
        <rFont val="Calibri"/>
        <family val="2"/>
        <charset val="204"/>
        <scheme val="minor"/>
      </rPr>
      <t>отпуск</t>
    </r>
    <r>
      <rPr>
        <b/>
        <sz val="10"/>
        <color theme="5" tint="-0.249977111117893"/>
        <rFont val="Calibri"/>
        <family val="2"/>
        <charset val="204"/>
        <scheme val="minor"/>
      </rPr>
      <t xml:space="preserve"> НДФЛ 15%</t>
    </r>
  </si>
  <si>
    <r>
      <t xml:space="preserve"> </t>
    </r>
    <r>
      <rPr>
        <b/>
        <sz val="10"/>
        <color rgb="FF7030A0"/>
        <rFont val="Calibri"/>
        <family val="2"/>
        <charset val="204"/>
        <scheme val="minor"/>
      </rPr>
      <t>отпуск</t>
    </r>
    <r>
      <rPr>
        <b/>
        <sz val="10"/>
        <color theme="5" tint="-0.249977111117893"/>
        <rFont val="Calibri"/>
        <family val="2"/>
        <charset val="204"/>
        <scheme val="minor"/>
      </rPr>
      <t xml:space="preserve"> НДФЛ 15%</t>
    </r>
  </si>
  <si>
    <t>Табель рабочего времени за ДЕКАБРЬ 2025</t>
  </si>
  <si>
    <t>Табель за Декабрь 2025</t>
  </si>
  <si>
    <r>
      <rPr>
        <b/>
        <sz val="11"/>
        <color rgb="FF0070C0"/>
        <rFont val="Calibri"/>
        <family val="2"/>
        <charset val="204"/>
        <scheme val="minor"/>
      </rPr>
      <t>.</t>
    </r>
    <r>
      <rPr>
        <b/>
        <sz val="11"/>
        <rFont val="Calibri"/>
        <family val="2"/>
        <charset val="204"/>
        <scheme val="minor"/>
      </rPr>
      <t>НДФЛ 15%</t>
    </r>
    <r>
      <rPr>
        <b/>
        <sz val="11"/>
        <color rgb="FF7030A0"/>
        <rFont val="Calibri"/>
        <family val="2"/>
        <charset val="204"/>
        <scheme val="minor"/>
      </rPr>
      <t xml:space="preserve"> добавить 15 к за многодетный до июля 2026 ( ДОБАВИЛА В УПРЕ)</t>
    </r>
  </si>
  <si>
    <t>увол 23.12.25</t>
  </si>
  <si>
    <t>увол</t>
  </si>
  <si>
    <t>Кольцовыо</t>
  </si>
  <si>
    <t xml:space="preserve">премия </t>
  </si>
  <si>
    <r>
      <rPr>
        <b/>
        <sz val="10"/>
        <color rgb="FF002060"/>
        <rFont val="Calibri"/>
        <family val="2"/>
        <charset val="204"/>
        <scheme val="minor"/>
      </rPr>
      <t xml:space="preserve">премия </t>
    </r>
    <r>
      <rPr>
        <b/>
        <sz val="10"/>
        <color theme="5" tint="-0.249977111117893"/>
        <rFont val="Calibri"/>
        <family val="2"/>
        <charset val="204"/>
        <scheme val="minor"/>
      </rPr>
      <t>НДФЛ 15%</t>
    </r>
  </si>
  <si>
    <t xml:space="preserve">премия, на больничной </t>
  </si>
  <si>
    <r>
      <rPr>
        <b/>
        <sz val="11"/>
        <color rgb="FF002060"/>
        <rFont val="Calibri"/>
        <family val="2"/>
        <charset val="204"/>
        <scheme val="minor"/>
      </rPr>
      <t xml:space="preserve">премия </t>
    </r>
    <r>
      <rPr>
        <b/>
        <sz val="11"/>
        <color theme="1"/>
        <rFont val="Calibri"/>
        <family val="2"/>
        <charset val="204"/>
        <scheme val="minor"/>
      </rPr>
      <t xml:space="preserve">165к(упра + гитэп) </t>
    </r>
  </si>
  <si>
    <t>премия</t>
  </si>
  <si>
    <t>был отпуск</t>
  </si>
  <si>
    <t>отпуск</t>
  </si>
  <si>
    <t xml:space="preserve">2065 вычесть в след месяцуе МАРТЫНОВ ВСЕ НА КАРТУ </t>
  </si>
  <si>
    <r>
      <rPr>
        <b/>
        <sz val="11"/>
        <color rgb="FF002060"/>
        <rFont val="Calibri"/>
        <family val="2"/>
        <charset val="204"/>
        <scheme val="minor"/>
      </rPr>
      <t xml:space="preserve">исправить в январе </t>
    </r>
    <r>
      <rPr>
        <b/>
        <sz val="11"/>
        <color rgb="FF7030A0"/>
        <rFont val="Calibri"/>
        <family val="2"/>
        <charset val="204"/>
        <scheme val="minor"/>
      </rPr>
      <t xml:space="preserve">ПОКА 160к </t>
    </r>
    <r>
      <rPr>
        <b/>
        <sz val="11"/>
        <color theme="1"/>
        <rFont val="Calibri"/>
        <family val="2"/>
        <charset val="204"/>
        <scheme val="minor"/>
      </rPr>
      <t>(оклад за 2 недели)</t>
    </r>
  </si>
  <si>
    <r>
      <rPr>
        <b/>
        <sz val="11"/>
        <color rgb="FF002060"/>
        <rFont val="Calibri"/>
        <family val="2"/>
        <charset val="204"/>
        <scheme val="minor"/>
      </rPr>
      <t xml:space="preserve">премия </t>
    </r>
    <r>
      <rPr>
        <b/>
        <sz val="11"/>
        <color theme="5" tint="-0.249977111117893"/>
        <rFont val="Calibri"/>
        <family val="2"/>
        <charset val="204"/>
        <scheme val="minor"/>
      </rPr>
      <t>НДФЛ 15%</t>
    </r>
  </si>
  <si>
    <t xml:space="preserve">отпуск </t>
  </si>
  <si>
    <t>отпуск и больнчный И отпсук</t>
  </si>
  <si>
    <r>
      <rPr>
        <b/>
        <sz val="11"/>
        <color rgb="FF002060"/>
        <rFont val="Calibri"/>
        <family val="2"/>
        <charset val="204"/>
        <scheme val="minor"/>
      </rPr>
      <t xml:space="preserve">преия  </t>
    </r>
    <r>
      <rPr>
        <b/>
        <sz val="11"/>
        <color theme="5" tint="-0.249977111117893"/>
        <rFont val="Calibri"/>
        <family val="2"/>
        <charset val="204"/>
        <scheme val="minor"/>
      </rPr>
      <t>НДФЛ 15%</t>
    </r>
    <r>
      <rPr>
        <b/>
        <sz val="11"/>
        <color rgb="FF0070C0"/>
        <rFont val="Calibri"/>
        <family val="2"/>
        <charset val="204"/>
        <scheme val="minor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 xml:space="preserve">займ 10 416,67   </t>
    </r>
  </si>
  <si>
    <t>Шатков Д</t>
  </si>
  <si>
    <t>премия ЗАЙМ</t>
  </si>
  <si>
    <r>
      <t>гитэп</t>
    </r>
    <r>
      <rPr>
        <b/>
        <sz val="11"/>
        <color rgb="FF7030A0"/>
        <rFont val="Calibri"/>
        <family val="2"/>
        <charset val="204"/>
        <scheme val="minor"/>
      </rPr>
      <t xml:space="preserve"> (больничный) </t>
    </r>
    <r>
      <rPr>
        <b/>
        <sz val="11"/>
        <color rgb="FF002060"/>
        <rFont val="Calibri"/>
        <family val="2"/>
        <charset val="204"/>
        <scheme val="minor"/>
      </rPr>
      <t xml:space="preserve">ПЕРЕСЧИТАТЬ ДЕКАБРЬ </t>
    </r>
  </si>
  <si>
    <t>ГИТЭП уволен</t>
  </si>
  <si>
    <t>ГИТЭП увол и приме ( след увольнение без отпускных)</t>
  </si>
  <si>
    <t>увол. 22.12.25</t>
  </si>
  <si>
    <t>уволен( вычесть при новом приеме)</t>
  </si>
  <si>
    <r>
      <rPr>
        <b/>
        <sz val="11"/>
        <rFont val="Calibri"/>
        <family val="2"/>
        <charset val="204"/>
        <scheme val="minor"/>
      </rPr>
      <t xml:space="preserve"> В МСР 17400</t>
    </r>
    <r>
      <rPr>
        <b/>
        <sz val="11"/>
        <color theme="5" tint="-0.249977111117893"/>
        <rFont val="Calibri"/>
        <family val="2"/>
        <charset val="204"/>
        <scheme val="minor"/>
      </rPr>
      <t xml:space="preserve">  221к(МСР + УПРА</t>
    </r>
    <r>
      <rPr>
        <b/>
        <sz val="11"/>
        <color theme="7" tint="-0.499984740745262"/>
        <rFont val="Calibri"/>
        <family val="2"/>
        <charset val="204"/>
        <scheme val="minor"/>
      </rPr>
      <t>)</t>
    </r>
    <r>
      <rPr>
        <b/>
        <sz val="11"/>
        <color rgb="FF7030A0"/>
        <rFont val="Calibri"/>
        <family val="2"/>
        <charset val="204"/>
        <scheme val="minor"/>
      </rPr>
      <t xml:space="preserve"> </t>
    </r>
    <r>
      <rPr>
        <b/>
        <sz val="11"/>
        <color theme="5" tint="-0.249977111117893"/>
        <rFont val="Calibri"/>
        <family val="2"/>
        <charset val="204"/>
        <scheme val="minor"/>
      </rPr>
      <t xml:space="preserve"> НДФЛ 15% </t>
    </r>
  </si>
  <si>
    <t>с января 110к</t>
  </si>
  <si>
    <r>
      <t xml:space="preserve">наличка </t>
    </r>
    <r>
      <rPr>
        <b/>
        <sz val="10"/>
        <color rgb="FFFF0000"/>
        <rFont val="Calibri"/>
        <family val="2"/>
        <charset val="204"/>
        <scheme val="minor"/>
      </rPr>
      <t xml:space="preserve">ОДИН ЗАЙМ ЗАКОНЧЕН </t>
    </r>
  </si>
  <si>
    <t>ОДИН ЗАЙМ УБРАТЬ</t>
  </si>
  <si>
    <t>ДОБАВИЛА 3к ( при изменении ШР)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</si>
</sst>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[$-419]General"/>
    <numFmt numFmtId="165" formatCode="#,##0&quot;р.&quot;"/>
    <numFmt numFmtId="166" formatCode="#,##0&quot; ₽&quot;"/>
    <numFmt numFmtId="167" formatCode="#,##0.00\ _₽"/>
    <numFmt numFmtId="168" formatCode="&quot; &quot;#,##0.00&quot;р. &quot;;&quot;-&quot;#,##0.00&quot;р. &quot;;&quot; -&quot;#&quot;р. &quot;;&quot; &quot;@&quot; &quot;"/>
    <numFmt numFmtId="169" formatCode="#,##0.00\ &quot;₽&quot;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Segoe UI Semibold"/>
      <family val="2"/>
      <charset val="204"/>
    </font>
    <font>
      <b/>
      <sz val="9"/>
      <color theme="1"/>
      <name val="Segoe UI Semibold"/>
      <family val="2"/>
      <charset val="204"/>
    </font>
    <font>
      <b/>
      <sz val="11"/>
      <color theme="1"/>
      <name val="Segoe UI Semibold"/>
      <family val="2"/>
      <charset val="204"/>
    </font>
    <font>
      <b/>
      <sz val="12"/>
      <color theme="1"/>
      <name val="Segoe UI Semibold"/>
      <family val="2"/>
      <charset val="204"/>
    </font>
    <font>
      <b/>
      <sz val="14"/>
      <color theme="1"/>
      <name val="Segoe UI Semibold"/>
      <family val="2"/>
      <charset val="204"/>
    </font>
    <font>
      <sz val="14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0"/>
      <color rgb="FF7030A0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20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b/>
      <u/>
      <sz val="16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1"/>
      <color rgb="FF7030A0"/>
      <name val="Calibri"/>
      <family val="2"/>
      <scheme val="minor"/>
    </font>
    <font>
      <b/>
      <sz val="18"/>
      <color theme="5" tint="-0.249977111117893"/>
      <name val="Calibri"/>
      <family val="2"/>
      <charset val="204"/>
      <scheme val="minor"/>
    </font>
    <font>
      <b/>
      <sz val="14"/>
      <color rgb="FFFF0000"/>
      <name val="Calibri"/>
      <family val="2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sz val="11"/>
      <color theme="5" tint="-0.249977111117893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8" tint="-0.249977111117893"/>
      <name val="Calibri"/>
      <family val="2"/>
      <charset val="204"/>
      <scheme val="minor"/>
    </font>
    <font>
      <b/>
      <sz val="11"/>
      <color rgb="FF00B0F0"/>
      <name val="Calibri"/>
      <family val="2"/>
      <charset val="204"/>
      <scheme val="minor"/>
    </font>
    <font>
      <b/>
      <sz val="11"/>
      <color theme="7" tint="-0.499984740745262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11"/>
      <color rgb="FF00206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5" fillId="0" borderId="0" applyBorder="0" applyProtection="0"/>
    <xf numFmtId="168" fontId="5" fillId="0" borderId="0" applyBorder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26">
    <xf numFmtId="0" fontId="0" fillId="0" borderId="0" xfId="0"/>
    <xf numFmtId="164" fontId="6" fillId="0" borderId="1" xfId="1" applyFont="1" applyBorder="1" applyAlignment="1" applyProtection="1">
      <alignment horizontal="left" vertical="center" wrapText="1"/>
    </xf>
    <xf numFmtId="165" fontId="6" fillId="0" borderId="1" xfId="1" applyNumberFormat="1" applyFont="1" applyBorder="1" applyAlignment="1" applyProtection="1">
      <alignment horizontal="left" vertical="center"/>
    </xf>
    <xf numFmtId="164" fontId="6" fillId="0" borderId="8" xfId="1" applyFont="1" applyBorder="1" applyAlignment="1" applyProtection="1">
      <alignment horizontal="left" vertical="center" wrapText="1"/>
    </xf>
    <xf numFmtId="165" fontId="6" fillId="0" borderId="8" xfId="1" applyNumberFormat="1" applyFont="1" applyBorder="1" applyAlignment="1" applyProtection="1">
      <alignment horizontal="left" vertical="center"/>
    </xf>
    <xf numFmtId="0" fontId="8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0" fontId="14" fillId="2" borderId="1" xfId="0" applyFont="1" applyFill="1" applyBorder="1"/>
    <xf numFmtId="3" fontId="14" fillId="12" borderId="1" xfId="0" applyNumberFormat="1" applyFont="1" applyFill="1" applyBorder="1" applyAlignment="1">
      <alignment horizontal="center"/>
    </xf>
    <xf numFmtId="4" fontId="14" fillId="0" borderId="1" xfId="0" applyNumberFormat="1" applyFont="1" applyBorder="1" applyAlignment="1">
      <alignment horizontal="center"/>
    </xf>
    <xf numFmtId="169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5" fillId="6" borderId="1" xfId="0" applyFont="1" applyFill="1" applyBorder="1" applyAlignment="1">
      <alignment horizontal="center" vertical="center" textRotation="90" wrapText="1"/>
    </xf>
    <xf numFmtId="0" fontId="15" fillId="12" borderId="1" xfId="0" applyFont="1" applyFill="1" applyBorder="1" applyAlignment="1">
      <alignment horizontal="center" vertical="center" textRotation="90" wrapText="1"/>
    </xf>
    <xf numFmtId="4" fontId="0" fillId="0" borderId="0" xfId="0" applyNumberFormat="1"/>
    <xf numFmtId="2" fontId="21" fillId="16" borderId="0" xfId="0" applyNumberFormat="1" applyFont="1" applyFill="1"/>
    <xf numFmtId="4" fontId="8" fillId="0" borderId="0" xfId="0" applyNumberFormat="1" applyFont="1"/>
    <xf numFmtId="0" fontId="0" fillId="0" borderId="0" xfId="0" applyAlignment="1">
      <alignment horizontal="center" vertical="center"/>
    </xf>
    <xf numFmtId="165" fontId="6" fillId="0" borderId="1" xfId="1" applyNumberFormat="1" applyFont="1" applyBorder="1" applyAlignment="1" applyProtection="1">
      <alignment horizontal="left" vertical="center" wrapText="1"/>
    </xf>
    <xf numFmtId="164" fontId="6" fillId="0" borderId="1" xfId="1" applyFont="1" applyBorder="1" applyAlignment="1" applyProtection="1">
      <alignment horizontal="center" vertical="center" wrapText="1"/>
    </xf>
    <xf numFmtId="164" fontId="6" fillId="0" borderId="1" xfId="1" applyFont="1" applyBorder="1" applyAlignment="1" applyProtection="1">
      <alignment horizontal="left"/>
    </xf>
    <xf numFmtId="167" fontId="6" fillId="0" borderId="1" xfId="0" applyNumberFormat="1" applyFont="1" applyBorder="1"/>
    <xf numFmtId="165" fontId="6" fillId="0" borderId="1" xfId="1" applyNumberFormat="1" applyFont="1" applyBorder="1" applyAlignment="1" applyProtection="1">
      <alignment horizontal="left"/>
    </xf>
    <xf numFmtId="167" fontId="6" fillId="0" borderId="1" xfId="0" applyNumberFormat="1" applyFont="1" applyBorder="1" applyAlignment="1">
      <alignment horizontal="right"/>
    </xf>
    <xf numFmtId="167" fontId="6" fillId="0" borderId="8" xfId="0" applyNumberFormat="1" applyFont="1" applyBorder="1"/>
    <xf numFmtId="0" fontId="0" fillId="11" borderId="0" xfId="0" applyFill="1"/>
    <xf numFmtId="0" fontId="12" fillId="11" borderId="1" xfId="0" applyFont="1" applyFill="1" applyBorder="1" applyAlignment="1">
      <alignment horizontal="center"/>
    </xf>
    <xf numFmtId="169" fontId="25" fillId="0" borderId="1" xfId="0" applyNumberFormat="1" applyFont="1" applyBorder="1"/>
    <xf numFmtId="43" fontId="0" fillId="0" borderId="0" xfId="0" applyNumberFormat="1"/>
    <xf numFmtId="167" fontId="6" fillId="20" borderId="1" xfId="0" applyNumberFormat="1" applyFont="1" applyFill="1" applyBorder="1"/>
    <xf numFmtId="43" fontId="4" fillId="0" borderId="1" xfId="3" applyFont="1" applyFill="1" applyBorder="1" applyAlignment="1" applyProtection="1">
      <alignment horizontal="center"/>
    </xf>
    <xf numFmtId="43" fontId="12" fillId="0" borderId="1" xfId="3" applyFont="1" applyFill="1" applyBorder="1"/>
    <xf numFmtId="0" fontId="12" fillId="15" borderId="1" xfId="0" applyFont="1" applyFill="1" applyBorder="1"/>
    <xf numFmtId="0" fontId="25" fillId="0" borderId="1" xfId="0" applyFont="1" applyBorder="1"/>
    <xf numFmtId="167" fontId="24" fillId="0" borderId="1" xfId="0" applyNumberFormat="1" applyFont="1" applyBorder="1"/>
    <xf numFmtId="167" fontId="22" fillId="0" borderId="1" xfId="0" applyNumberFormat="1" applyFont="1" applyBorder="1"/>
    <xf numFmtId="165" fontId="6" fillId="0" borderId="1" xfId="1" applyNumberFormat="1" applyFont="1" applyBorder="1" applyAlignment="1" applyProtection="1">
      <alignment vertical="center" wrapText="1"/>
    </xf>
    <xf numFmtId="0" fontId="25" fillId="9" borderId="1" xfId="0" applyFont="1" applyFill="1" applyBorder="1"/>
    <xf numFmtId="43" fontId="0" fillId="21" borderId="0" xfId="0" applyNumberFormat="1" applyFill="1"/>
    <xf numFmtId="0" fontId="2" fillId="17" borderId="0" xfId="0" applyFont="1" applyFill="1"/>
    <xf numFmtId="0" fontId="33" fillId="0" borderId="0" xfId="0" applyFont="1"/>
    <xf numFmtId="0" fontId="12" fillId="6" borderId="1" xfId="0" applyFont="1" applyFill="1" applyBorder="1" applyAlignment="1">
      <alignment horizontal="center"/>
    </xf>
    <xf numFmtId="0" fontId="38" fillId="0" borderId="0" xfId="0" applyFont="1" applyAlignment="1">
      <alignment wrapText="1"/>
    </xf>
    <xf numFmtId="0" fontId="12" fillId="2" borderId="1" xfId="0" applyFont="1" applyFill="1" applyBorder="1" applyAlignment="1">
      <alignment horizontal="center"/>
    </xf>
    <xf numFmtId="164" fontId="6" fillId="20" borderId="1" xfId="1" applyFont="1" applyFill="1" applyBorder="1" applyAlignment="1" applyProtection="1">
      <alignment horizontal="center" vertical="center" wrapText="1"/>
    </xf>
    <xf numFmtId="164" fontId="6" fillId="20" borderId="1" xfId="1" applyFont="1" applyFill="1" applyBorder="1" applyAlignment="1" applyProtection="1">
      <alignment horizontal="left"/>
    </xf>
    <xf numFmtId="164" fontId="32" fillId="20" borderId="2" xfId="1" applyFont="1" applyFill="1" applyBorder="1" applyAlignment="1" applyProtection="1">
      <alignment horizontal="left"/>
    </xf>
    <xf numFmtId="164" fontId="32" fillId="20" borderId="4" xfId="1" applyFont="1" applyFill="1" applyBorder="1" applyAlignment="1" applyProtection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164" fontId="7" fillId="0" borderId="1" xfId="1" applyFont="1" applyBorder="1" applyAlignment="1" applyProtection="1">
      <alignment horizontal="center" vertical="center" wrapText="1"/>
    </xf>
    <xf numFmtId="165" fontId="7" fillId="0" borderId="1" xfId="1" applyNumberFormat="1" applyFont="1" applyBorder="1" applyAlignment="1" applyProtection="1">
      <alignment horizontal="center" vertical="center" wrapText="1"/>
    </xf>
    <xf numFmtId="166" fontId="7" fillId="0" borderId="1" xfId="1" applyNumberFormat="1" applyFont="1" applyBorder="1" applyAlignment="1" applyProtection="1">
      <alignment horizontal="center" vertical="center" wrapText="1"/>
    </xf>
    <xf numFmtId="167" fontId="6" fillId="0" borderId="1" xfId="0" applyNumberFormat="1" applyFont="1" applyBorder="1" applyAlignment="1">
      <alignment horizontal="right" vertical="center"/>
    </xf>
    <xf numFmtId="164" fontId="6" fillId="0" borderId="1" xfId="1" applyFont="1" applyBorder="1" applyProtection="1"/>
    <xf numFmtId="164" fontId="6" fillId="0" borderId="1" xfId="1" applyFont="1" applyBorder="1" applyAlignment="1" applyProtection="1">
      <alignment vertical="center" wrapText="1"/>
    </xf>
    <xf numFmtId="164" fontId="6" fillId="0" borderId="2" xfId="1" applyFont="1" applyBorder="1" applyAlignment="1" applyProtection="1">
      <alignment horizontal="center" vertical="center" wrapText="1"/>
    </xf>
    <xf numFmtId="43" fontId="6" fillId="0" borderId="1" xfId="3" applyFont="1" applyFill="1" applyBorder="1" applyAlignment="1" applyProtection="1">
      <alignment horizontal="left"/>
    </xf>
    <xf numFmtId="167" fontId="4" fillId="0" borderId="0" xfId="0" applyNumberFormat="1" applyFont="1"/>
    <xf numFmtId="4" fontId="3" fillId="0" borderId="1" xfId="0" applyNumberFormat="1" applyFont="1" applyBorder="1"/>
    <xf numFmtId="4" fontId="4" fillId="0" borderId="0" xfId="0" applyNumberFormat="1" applyFont="1"/>
    <xf numFmtId="167" fontId="7" fillId="17" borderId="1" xfId="0" applyNumberFormat="1" applyFont="1" applyFill="1" applyBorder="1" applyAlignment="1">
      <alignment horizontal="right" vertical="center"/>
    </xf>
    <xf numFmtId="167" fontId="7" fillId="17" borderId="1" xfId="0" applyNumberFormat="1" applyFont="1" applyFill="1" applyBorder="1"/>
    <xf numFmtId="164" fontId="6" fillId="17" borderId="2" xfId="1" applyFont="1" applyFill="1" applyBorder="1" applyAlignment="1" applyProtection="1">
      <alignment horizontal="center" vertical="center" wrapText="1"/>
    </xf>
    <xf numFmtId="164" fontId="6" fillId="17" borderId="3" xfId="1" applyFont="1" applyFill="1" applyBorder="1" applyAlignment="1" applyProtection="1">
      <alignment horizontal="left" vertical="center" wrapText="1"/>
    </xf>
    <xf numFmtId="167" fontId="32" fillId="17" borderId="3" xfId="0" applyNumberFormat="1" applyFont="1" applyFill="1" applyBorder="1"/>
    <xf numFmtId="164" fontId="6" fillId="17" borderId="1" xfId="1" applyFont="1" applyFill="1" applyBorder="1" applyAlignment="1" applyProtection="1">
      <alignment horizontal="center" vertical="center" wrapText="1"/>
    </xf>
    <xf numFmtId="164" fontId="6" fillId="17" borderId="1" xfId="1" applyFont="1" applyFill="1" applyBorder="1" applyProtection="1"/>
    <xf numFmtId="164" fontId="6" fillId="17" borderId="1" xfId="1" applyFont="1" applyFill="1" applyBorder="1" applyAlignment="1" applyProtection="1">
      <alignment horizontal="left"/>
    </xf>
    <xf numFmtId="164" fontId="24" fillId="17" borderId="1" xfId="1" applyFont="1" applyFill="1" applyBorder="1" applyAlignment="1" applyProtection="1">
      <alignment horizontal="center" vertical="center" wrapText="1"/>
    </xf>
    <xf numFmtId="164" fontId="24" fillId="17" borderId="1" xfId="1" applyFont="1" applyFill="1" applyBorder="1" applyProtection="1"/>
    <xf numFmtId="164" fontId="24" fillId="17" borderId="1" xfId="1" applyFont="1" applyFill="1" applyBorder="1" applyAlignment="1" applyProtection="1">
      <alignment horizontal="left"/>
    </xf>
    <xf numFmtId="167" fontId="13" fillId="17" borderId="1" xfId="0" applyNumberFormat="1" applyFont="1" applyFill="1" applyBorder="1"/>
    <xf numFmtId="164" fontId="32" fillId="20" borderId="1" xfId="1" applyFont="1" applyFill="1" applyBorder="1" applyProtection="1"/>
    <xf numFmtId="167" fontId="7" fillId="17" borderId="1" xfId="0" applyNumberFormat="1" applyFont="1" applyFill="1" applyBorder="1" applyAlignment="1">
      <alignment horizontal="right"/>
    </xf>
    <xf numFmtId="0" fontId="2" fillId="0" borderId="0" xfId="0" applyFont="1"/>
    <xf numFmtId="0" fontId="47" fillId="0" borderId="0" xfId="0" applyFont="1"/>
    <xf numFmtId="0" fontId="49" fillId="0" borderId="0" xfId="0" applyFont="1"/>
    <xf numFmtId="3" fontId="0" fillId="0" borderId="0" xfId="0" applyNumberFormat="1" applyAlignment="1">
      <alignment horizontal="left"/>
    </xf>
    <xf numFmtId="3" fontId="0" fillId="0" borderId="0" xfId="0" applyNumberFormat="1"/>
    <xf numFmtId="0" fontId="51" fillId="0" borderId="0" xfId="0" applyFont="1"/>
    <xf numFmtId="43" fontId="6" fillId="17" borderId="1" xfId="3" applyFont="1" applyFill="1" applyBorder="1" applyAlignment="1" applyProtection="1">
      <alignment horizontal="left"/>
    </xf>
    <xf numFmtId="167" fontId="32" fillId="20" borderId="6" xfId="0" applyNumberFormat="1" applyFont="1" applyFill="1" applyBorder="1"/>
    <xf numFmtId="167" fontId="32" fillId="20" borderId="7" xfId="0" applyNumberFormat="1" applyFont="1" applyFill="1" applyBorder="1"/>
    <xf numFmtId="0" fontId="7" fillId="17" borderId="1" xfId="0" applyFont="1" applyFill="1" applyBorder="1" applyAlignment="1">
      <alignment horizontal="center"/>
    </xf>
    <xf numFmtId="0" fontId="53" fillId="0" borderId="0" xfId="0" applyFont="1"/>
    <xf numFmtId="0" fontId="54" fillId="0" borderId="0" xfId="0" applyFont="1"/>
    <xf numFmtId="0" fontId="56" fillId="0" borderId="0" xfId="0" applyFont="1"/>
    <xf numFmtId="0" fontId="52" fillId="0" borderId="0" xfId="0" applyFont="1"/>
    <xf numFmtId="3" fontId="49" fillId="0" borderId="0" xfId="0" applyNumberFormat="1" applyFont="1" applyAlignment="1">
      <alignment horizontal="left"/>
    </xf>
    <xf numFmtId="0" fontId="57" fillId="0" borderId="0" xfId="0" applyFont="1"/>
    <xf numFmtId="0" fontId="2" fillId="7" borderId="0" xfId="0" applyFont="1" applyFill="1"/>
    <xf numFmtId="0" fontId="59" fillId="0" borderId="0" xfId="0" applyFont="1"/>
    <xf numFmtId="0" fontId="61" fillId="0" borderId="0" xfId="0" applyFont="1"/>
    <xf numFmtId="43" fontId="12" fillId="12" borderId="1" xfId="3" applyFont="1" applyFill="1" applyBorder="1" applyAlignment="1" applyProtection="1">
      <alignment horizontal="center"/>
      <protection locked="0"/>
    </xf>
    <xf numFmtId="43" fontId="12" fillId="18" borderId="1" xfId="3" applyFont="1" applyFill="1" applyBorder="1" applyProtection="1">
      <protection locked="0"/>
    </xf>
    <xf numFmtId="43" fontId="12" fillId="0" borderId="1" xfId="3" applyFont="1" applyBorder="1" applyAlignment="1" applyProtection="1">
      <alignment horizontal="center"/>
      <protection locked="0"/>
    </xf>
    <xf numFmtId="43" fontId="12" fillId="0" borderId="1" xfId="3" applyFont="1" applyFill="1" applyBorder="1" applyAlignment="1" applyProtection="1">
      <alignment horizontal="center"/>
      <protection locked="0"/>
    </xf>
    <xf numFmtId="0" fontId="12" fillId="0" borderId="1" xfId="3" applyNumberFormat="1" applyFont="1" applyBorder="1" applyAlignment="1" applyProtection="1">
      <alignment horizontal="center"/>
      <protection locked="0"/>
    </xf>
    <xf numFmtId="3" fontId="12" fillId="0" borderId="1" xfId="4" applyNumberFormat="1" applyFont="1" applyBorder="1" applyAlignment="1" applyProtection="1">
      <alignment horizontal="center"/>
      <protection locked="0"/>
    </xf>
    <xf numFmtId="43" fontId="12" fillId="0" borderId="1" xfId="3" applyFont="1" applyFill="1" applyBorder="1" applyAlignment="1" applyProtection="1">
      <alignment horizontal="center"/>
    </xf>
    <xf numFmtId="0" fontId="12" fillId="0" borderId="1" xfId="3" applyNumberFormat="1" applyFont="1" applyBorder="1" applyAlignment="1" applyProtection="1">
      <alignment horizontal="center"/>
    </xf>
    <xf numFmtId="43" fontId="12" fillId="0" borderId="1" xfId="3" applyFont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 textRotation="90" wrapText="1"/>
      <protection locked="0"/>
    </xf>
    <xf numFmtId="0" fontId="15" fillId="14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1" xfId="0" applyFont="1" applyFill="1" applyBorder="1" applyAlignment="1" applyProtection="1">
      <alignment horizontal="center" vertical="center" textRotation="90" wrapText="1"/>
      <protection locked="0"/>
    </xf>
    <xf numFmtId="0" fontId="15" fillId="15" borderId="1" xfId="0" applyFont="1" applyFill="1" applyBorder="1" applyAlignment="1" applyProtection="1">
      <alignment horizontal="center" vertical="center" textRotation="90" wrapText="1"/>
      <protection locked="0"/>
    </xf>
    <xf numFmtId="0" fontId="12" fillId="11" borderId="1" xfId="0" applyFont="1" applyFill="1" applyBorder="1" applyAlignment="1" applyProtection="1">
      <alignment horizontal="center"/>
      <protection locked="0"/>
    </xf>
    <xf numFmtId="0" fontId="10" fillId="18" borderId="1" xfId="0" applyFont="1" applyFill="1" applyBorder="1" applyProtection="1">
      <protection locked="0"/>
    </xf>
    <xf numFmtId="0" fontId="12" fillId="18" borderId="1" xfId="0" applyFont="1" applyFill="1" applyBorder="1" applyAlignment="1" applyProtection="1">
      <alignment horizontal="left"/>
      <protection locked="0"/>
    </xf>
    <xf numFmtId="0" fontId="12" fillId="18" borderId="1" xfId="0" applyFont="1" applyFill="1" applyBorder="1" applyAlignment="1" applyProtection="1">
      <alignment horizontal="center"/>
      <protection locked="0"/>
    </xf>
    <xf numFmtId="0" fontId="12" fillId="18" borderId="1" xfId="0" applyFont="1" applyFill="1" applyBorder="1" applyProtection="1">
      <protection locked="0"/>
    </xf>
    <xf numFmtId="43" fontId="4" fillId="18" borderId="1" xfId="3" applyFont="1" applyFill="1" applyBorder="1" applyAlignment="1" applyProtection="1">
      <alignment horizontal="center"/>
      <protection locked="0"/>
    </xf>
    <xf numFmtId="0" fontId="12" fillId="18" borderId="1" xfId="3" applyNumberFormat="1" applyFont="1" applyFill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7" borderId="1" xfId="0" applyFont="1" applyFill="1" applyBorder="1" applyAlignment="1" applyProtection="1">
      <alignment horizont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43" fontId="12" fillId="5" borderId="1" xfId="3" applyFont="1" applyFill="1" applyBorder="1" applyAlignment="1" applyProtection="1">
      <alignment horizontal="center"/>
      <protection locked="0"/>
    </xf>
    <xf numFmtId="43" fontId="12" fillId="0" borderId="1" xfId="3" applyFont="1" applyFill="1" applyBorder="1" applyProtection="1">
      <protection locked="0"/>
    </xf>
    <xf numFmtId="0" fontId="12" fillId="0" borderId="1" xfId="3" applyNumberFormat="1" applyFont="1" applyFill="1" applyBorder="1" applyAlignment="1" applyProtection="1">
      <alignment horizontal="center"/>
      <protection locked="0"/>
    </xf>
    <xf numFmtId="43" fontId="12" fillId="18" borderId="1" xfId="3" applyFont="1" applyFill="1" applyBorder="1" applyAlignment="1" applyProtection="1">
      <alignment horizontal="center"/>
      <protection locked="0"/>
    </xf>
    <xf numFmtId="43" fontId="12" fillId="17" borderId="1" xfId="3" applyFont="1" applyFill="1" applyBorder="1" applyProtection="1">
      <protection locked="0"/>
    </xf>
    <xf numFmtId="0" fontId="10" fillId="12" borderId="1" xfId="0" applyFont="1" applyFill="1" applyBorder="1" applyProtection="1">
      <protection locked="0"/>
    </xf>
    <xf numFmtId="0" fontId="12" fillId="12" borderId="1" xfId="0" applyFont="1" applyFill="1" applyBorder="1" applyAlignment="1" applyProtection="1">
      <alignment horizontal="left"/>
      <protection locked="0"/>
    </xf>
    <xf numFmtId="0" fontId="12" fillId="12" borderId="1" xfId="0" applyFont="1" applyFill="1" applyBorder="1" applyAlignment="1" applyProtection="1">
      <alignment horizontal="center"/>
      <protection locked="0"/>
    </xf>
    <xf numFmtId="0" fontId="12" fillId="12" borderId="1" xfId="3" applyNumberFormat="1" applyFont="1" applyFill="1" applyBorder="1" applyAlignment="1" applyProtection="1">
      <alignment horizontal="center"/>
      <protection locked="0"/>
    </xf>
    <xf numFmtId="0" fontId="10" fillId="11" borderId="1" xfId="0" applyFont="1" applyFill="1" applyBorder="1" applyProtection="1">
      <protection locked="0"/>
    </xf>
    <xf numFmtId="0" fontId="12" fillId="11" borderId="1" xfId="0" applyFont="1" applyFill="1" applyBorder="1" applyAlignment="1" applyProtection="1">
      <alignment horizontal="left"/>
      <protection locked="0"/>
    </xf>
    <xf numFmtId="0" fontId="39" fillId="11" borderId="1" xfId="0" applyFont="1" applyFill="1" applyBorder="1" applyAlignment="1" applyProtection="1">
      <alignment horizontal="left"/>
      <protection locked="0"/>
    </xf>
    <xf numFmtId="0" fontId="25" fillId="18" borderId="1" xfId="0" applyFont="1" applyFill="1" applyBorder="1" applyProtection="1">
      <protection locked="0"/>
    </xf>
    <xf numFmtId="43" fontId="25" fillId="18" borderId="1" xfId="3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0" fillId="13" borderId="1" xfId="0" applyFont="1" applyFill="1" applyBorder="1" applyAlignment="1" applyProtection="1">
      <alignment horizontal="center"/>
      <protection locked="0"/>
    </xf>
    <xf numFmtId="0" fontId="14" fillId="2" borderId="1" xfId="0" applyFont="1" applyFill="1" applyBorder="1" applyProtection="1">
      <protection locked="0"/>
    </xf>
    <xf numFmtId="3" fontId="14" fillId="12" borderId="1" xfId="0" applyNumberFormat="1" applyFont="1" applyFill="1" applyBorder="1" applyAlignment="1" applyProtection="1">
      <alignment horizontal="center"/>
      <protection locked="0"/>
    </xf>
    <xf numFmtId="43" fontId="14" fillId="0" borderId="1" xfId="0" applyNumberFormat="1" applyFont="1" applyBorder="1" applyAlignment="1" applyProtection="1">
      <alignment horizontal="center"/>
      <protection locked="0"/>
    </xf>
    <xf numFmtId="4" fontId="14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wrapText="1"/>
      <protection locked="0"/>
    </xf>
    <xf numFmtId="0" fontId="34" fillId="11" borderId="0" xfId="0" applyFont="1" applyFill="1" applyProtection="1">
      <protection locked="0"/>
    </xf>
    <xf numFmtId="0" fontId="0" fillId="11" borderId="0" xfId="0" applyFill="1" applyProtection="1">
      <protection locked="0"/>
    </xf>
    <xf numFmtId="0" fontId="37" fillId="11" borderId="0" xfId="0" applyFont="1" applyFill="1" applyProtection="1">
      <protection locked="0"/>
    </xf>
    <xf numFmtId="0" fontId="0" fillId="18" borderId="0" xfId="0" applyFill="1" applyProtection="1">
      <protection locked="0"/>
    </xf>
    <xf numFmtId="0" fontId="44" fillId="0" borderId="0" xfId="0" applyFont="1" applyProtection="1">
      <protection locked="0"/>
    </xf>
    <xf numFmtId="0" fontId="44" fillId="11" borderId="0" xfId="0" applyFont="1" applyFill="1" applyProtection="1">
      <protection locked="0"/>
    </xf>
    <xf numFmtId="0" fontId="6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46" fillId="0" borderId="0" xfId="0" applyFont="1" applyProtection="1">
      <protection locked="0"/>
    </xf>
    <xf numFmtId="43" fontId="33" fillId="0" borderId="0" xfId="0" applyNumberFormat="1" applyFont="1" applyProtection="1">
      <protection locked="0"/>
    </xf>
    <xf numFmtId="0" fontId="33" fillId="0" borderId="0" xfId="0" applyFont="1" applyProtection="1">
      <protection locked="0"/>
    </xf>
    <xf numFmtId="43" fontId="46" fillId="0" borderId="0" xfId="0" applyNumberFormat="1" applyFont="1" applyAlignment="1" applyProtection="1">
      <alignment horizontal="left" vertical="top"/>
      <protection locked="0"/>
    </xf>
    <xf numFmtId="43" fontId="62" fillId="0" borderId="0" xfId="0" applyNumberFormat="1" applyFont="1" applyAlignment="1" applyProtection="1">
      <alignment horizontal="left" vertical="top"/>
      <protection locked="0"/>
    </xf>
    <xf numFmtId="43" fontId="48" fillId="0" borderId="0" xfId="0" applyNumberFormat="1" applyFont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50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37" fillId="0" borderId="0" xfId="0" applyFont="1" applyProtection="1">
      <protection locked="0"/>
    </xf>
    <xf numFmtId="43" fontId="46" fillId="0" borderId="0" xfId="0" applyNumberFormat="1" applyFont="1" applyProtection="1">
      <protection locked="0"/>
    </xf>
    <xf numFmtId="43" fontId="46" fillId="20" borderId="0" xfId="0" applyNumberFormat="1" applyFont="1" applyFill="1" applyAlignment="1" applyProtection="1">
      <alignment horizontal="left"/>
      <protection locked="0"/>
    </xf>
    <xf numFmtId="43" fontId="48" fillId="0" borderId="0" xfId="0" applyNumberFormat="1" applyFont="1" applyProtection="1">
      <protection locked="0"/>
    </xf>
    <xf numFmtId="43" fontId="46" fillId="0" borderId="0" xfId="0" applyNumberFormat="1" applyFont="1" applyAlignment="1" applyProtection="1">
      <alignment vertical="center"/>
      <protection locked="0"/>
    </xf>
    <xf numFmtId="0" fontId="0" fillId="12" borderId="0" xfId="0" applyFill="1" applyProtection="1">
      <protection locked="0"/>
    </xf>
    <xf numFmtId="0" fontId="55" fillId="0" borderId="0" xfId="0" applyFont="1" applyProtection="1">
      <protection locked="0"/>
    </xf>
    <xf numFmtId="0" fontId="45" fillId="17" borderId="0" xfId="0" applyFont="1" applyFill="1" applyProtection="1">
      <protection locked="0"/>
    </xf>
    <xf numFmtId="0" fontId="41" fillId="0" borderId="0" xfId="0" applyFont="1" applyProtection="1">
      <protection locked="0"/>
    </xf>
    <xf numFmtId="0" fontId="45" fillId="0" borderId="0" xfId="0" applyFont="1" applyProtection="1">
      <protection locked="0"/>
    </xf>
    <xf numFmtId="0" fontId="45" fillId="20" borderId="0" xfId="0" applyFont="1" applyFill="1" applyProtection="1">
      <protection locked="0"/>
    </xf>
    <xf numFmtId="0" fontId="44" fillId="20" borderId="0" xfId="0" applyFont="1" applyFill="1" applyProtection="1">
      <protection locked="0"/>
    </xf>
    <xf numFmtId="43" fontId="50" fillId="0" borderId="0" xfId="0" applyNumberFormat="1" applyFont="1" applyProtection="1">
      <protection locked="0"/>
    </xf>
    <xf numFmtId="0" fontId="31" fillId="0" borderId="0" xfId="0" applyFont="1" applyProtection="1">
      <protection locked="0"/>
    </xf>
    <xf numFmtId="0" fontId="34" fillId="0" borderId="0" xfId="0" applyFont="1" applyProtection="1">
      <protection locked="0"/>
    </xf>
    <xf numFmtId="43" fontId="0" fillId="0" borderId="0" xfId="0" applyNumberFormat="1" applyProtection="1">
      <protection locked="0"/>
    </xf>
    <xf numFmtId="4" fontId="21" fillId="17" borderId="0" xfId="0" applyNumberFormat="1" applyFont="1" applyFill="1" applyProtection="1">
      <protection locked="0"/>
    </xf>
    <xf numFmtId="167" fontId="22" fillId="20" borderId="1" xfId="0" applyNumberFormat="1" applyFont="1" applyFill="1" applyBorder="1" applyAlignment="1">
      <alignment horizontal="center"/>
    </xf>
    <xf numFmtId="167" fontId="6" fillId="20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63" fillId="0" borderId="0" xfId="0" applyFont="1"/>
    <xf numFmtId="167" fontId="64" fillId="0" borderId="0" xfId="0" applyNumberFormat="1" applyFont="1" applyAlignment="1">
      <alignment horizontal="left" vertical="center"/>
    </xf>
    <xf numFmtId="0" fontId="65" fillId="0" borderId="0" xfId="0" applyFont="1"/>
    <xf numFmtId="0" fontId="66" fillId="0" borderId="0" xfId="0" applyFont="1"/>
    <xf numFmtId="0" fontId="40" fillId="0" borderId="0" xfId="0" applyFont="1"/>
    <xf numFmtId="0" fontId="40" fillId="20" borderId="0" xfId="0" applyFont="1" applyFill="1"/>
    <xf numFmtId="0" fontId="16" fillId="0" borderId="0" xfId="0" applyFont="1" applyAlignment="1" applyProtection="1">
      <alignment horizontal="center" vertical="center" textRotation="90" wrapText="1"/>
      <protection locked="0"/>
    </xf>
    <xf numFmtId="43" fontId="12" fillId="0" borderId="0" xfId="3" applyFont="1" applyFill="1" applyBorder="1" applyProtection="1">
      <protection locked="0"/>
    </xf>
    <xf numFmtId="4" fontId="14" fillId="0" borderId="0" xfId="0" applyNumberFormat="1" applyFont="1" applyAlignment="1" applyProtection="1">
      <alignment horizontal="center"/>
      <protection locked="0"/>
    </xf>
    <xf numFmtId="4" fontId="21" fillId="0" borderId="0" xfId="0" applyNumberFormat="1" applyFont="1" applyProtection="1">
      <protection locked="0"/>
    </xf>
    <xf numFmtId="164" fontId="7" fillId="17" borderId="1" xfId="1" applyFont="1" applyFill="1" applyBorder="1" applyAlignment="1" applyProtection="1">
      <alignment horizontal="center" vertical="center" wrapText="1"/>
    </xf>
    <xf numFmtId="164" fontId="7" fillId="17" borderId="1" xfId="1" applyFont="1" applyFill="1" applyBorder="1" applyAlignment="1" applyProtection="1">
      <alignment horizontal="left" vertical="center" wrapText="1"/>
    </xf>
    <xf numFmtId="165" fontId="7" fillId="17" borderId="1" xfId="1" applyNumberFormat="1" applyFont="1" applyFill="1" applyBorder="1" applyAlignment="1" applyProtection="1">
      <alignment horizontal="left" vertical="center"/>
    </xf>
    <xf numFmtId="0" fontId="1" fillId="0" borderId="0" xfId="0" applyFont="1"/>
    <xf numFmtId="4" fontId="67" fillId="0" borderId="1" xfId="1" applyNumberFormat="1" applyFont="1" applyBorder="1" applyAlignment="1" applyProtection="1">
      <alignment horizontal="right" wrapText="1"/>
    </xf>
    <xf numFmtId="0" fontId="21" fillId="0" borderId="0" xfId="0" applyFont="1"/>
    <xf numFmtId="0" fontId="36" fillId="0" borderId="0" xfId="0" applyFont="1"/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0" xfId="0" applyFont="1"/>
    <xf numFmtId="169" fontId="0" fillId="0" borderId="0" xfId="0" applyNumberFormat="1"/>
    <xf numFmtId="0" fontId="12" fillId="0" borderId="8" xfId="0" applyFont="1" applyBorder="1" applyAlignment="1">
      <alignment wrapText="1"/>
    </xf>
    <xf numFmtId="0" fontId="21" fillId="11" borderId="0" xfId="0" applyFont="1" applyFill="1"/>
    <xf numFmtId="169" fontId="21" fillId="17" borderId="0" xfId="0" applyNumberFormat="1" applyFont="1" applyFill="1"/>
    <xf numFmtId="0" fontId="68" fillId="0" borderId="0" xfId="0" applyFont="1"/>
    <xf numFmtId="0" fontId="69" fillId="0" borderId="0" xfId="0" applyFont="1"/>
    <xf numFmtId="43" fontId="71" fillId="0" borderId="0" xfId="3" applyFont="1" applyFill="1" applyBorder="1" applyProtection="1">
      <protection locked="0"/>
    </xf>
    <xf numFmtId="167" fontId="6" fillId="24" borderId="1" xfId="0" applyNumberFormat="1" applyFont="1" applyFill="1" applyBorder="1" applyAlignment="1">
      <alignment horizontal="right"/>
    </xf>
    <xf numFmtId="0" fontId="30" fillId="0" borderId="0" xfId="0" applyFont="1" applyProtection="1">
      <protection locked="0"/>
    </xf>
    <xf numFmtId="0" fontId="38" fillId="0" borderId="0" xfId="0" applyFont="1"/>
    <xf numFmtId="43" fontId="45" fillId="0" borderId="0" xfId="0" applyNumberFormat="1" applyFont="1" applyProtection="1">
      <protection locked="0"/>
    </xf>
    <xf numFmtId="43" fontId="72" fillId="0" borderId="0" xfId="3" applyFont="1" applyFill="1" applyBorder="1" applyProtection="1">
      <protection locked="0"/>
    </xf>
    <xf numFmtId="0" fontId="2" fillId="0" borderId="12" xfId="0" applyFont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/>
      <protection locked="0"/>
    </xf>
    <xf numFmtId="0" fontId="49" fillId="0" borderId="0" xfId="0" applyFont="1" applyAlignment="1">
      <alignment horizontal="left" vertical="center"/>
    </xf>
    <xf numFmtId="43" fontId="11" fillId="0" borderId="0" xfId="3" applyFont="1" applyFill="1" applyBorder="1" applyProtection="1">
      <protection locked="0"/>
    </xf>
    <xf numFmtId="43" fontId="11" fillId="3" borderId="0" xfId="3" applyFont="1" applyFill="1" applyBorder="1" applyProtection="1">
      <protection locked="0"/>
    </xf>
    <xf numFmtId="43" fontId="11" fillId="6" borderId="12" xfId="3" applyFont="1" applyFill="1" applyBorder="1" applyProtection="1">
      <protection locked="0"/>
    </xf>
    <xf numFmtId="0" fontId="73" fillId="0" borderId="0" xfId="0" applyFont="1"/>
    <xf numFmtId="43" fontId="10" fillId="0" borderId="0" xfId="3" applyFont="1" applyFill="1" applyBorder="1" applyProtection="1">
      <protection locked="0"/>
    </xf>
    <xf numFmtId="167" fontId="6" fillId="12" borderId="1" xfId="0" applyNumberFormat="1" applyFont="1" applyFill="1" applyBorder="1"/>
    <xf numFmtId="0" fontId="40" fillId="13" borderId="0" xfId="0" applyFont="1" applyFill="1"/>
    <xf numFmtId="0" fontId="2" fillId="16" borderId="0" xfId="0" applyFont="1" applyFill="1"/>
    <xf numFmtId="0" fontId="74" fillId="7" borderId="0" xfId="0" applyFont="1" applyFill="1"/>
    <xf numFmtId="0" fontId="12" fillId="0" borderId="1" xfId="0" applyFont="1" applyBorder="1" applyAlignment="1" applyProtection="1">
      <alignment horizontal="left" wrapText="1"/>
      <protection locked="0"/>
    </xf>
    <xf numFmtId="0" fontId="10" fillId="13" borderId="1" xfId="0" applyFont="1" applyFill="1" applyBorder="1" applyProtection="1">
      <protection locked="0"/>
    </xf>
    <xf numFmtId="0" fontId="12" fillId="13" borderId="1" xfId="0" applyFont="1" applyFill="1" applyBorder="1" applyAlignment="1" applyProtection="1">
      <alignment horizontal="left"/>
      <protection locked="0"/>
    </xf>
    <xf numFmtId="43" fontId="12" fillId="13" borderId="1" xfId="3" applyFont="1" applyFill="1" applyBorder="1"/>
    <xf numFmtId="0" fontId="76" fillId="0" borderId="0" xfId="0" applyFont="1"/>
    <xf numFmtId="167" fontId="6" fillId="25" borderId="1" xfId="0" applyNumberFormat="1" applyFont="1" applyFill="1" applyBorder="1"/>
    <xf numFmtId="164" fontId="7" fillId="0" borderId="11" xfId="1" applyFont="1" applyBorder="1" applyAlignment="1" applyProtection="1">
      <alignment horizontal="center" vertical="center" wrapText="1"/>
    </xf>
    <xf numFmtId="164" fontId="7" fillId="0" borderId="2" xfId="1" applyFont="1" applyBorder="1" applyAlignment="1" applyProtection="1">
      <alignment horizontal="center" vertical="center" wrapText="1"/>
    </xf>
    <xf numFmtId="164" fontId="32" fillId="20" borderId="5" xfId="1" applyFont="1" applyFill="1" applyBorder="1" applyAlignment="1" applyProtection="1">
      <alignment horizontal="right" vertical="center" wrapText="1"/>
    </xf>
    <xf numFmtId="164" fontId="32" fillId="20" borderId="6" xfId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/>
    </xf>
    <xf numFmtId="164" fontId="7" fillId="0" borderId="1" xfId="1" applyFont="1" applyBorder="1" applyAlignment="1" applyProtection="1">
      <alignment horizontal="left" vertical="center" wrapText="1"/>
    </xf>
    <xf numFmtId="164" fontId="6" fillId="17" borderId="1" xfId="1" applyFont="1" applyFill="1" applyBorder="1" applyAlignment="1" applyProtection="1">
      <alignment horizontal="center" vertical="center" wrapText="1"/>
    </xf>
    <xf numFmtId="164" fontId="7" fillId="20" borderId="1" xfId="1" applyFont="1" applyFill="1" applyBorder="1" applyAlignment="1" applyProtection="1">
      <alignment horizontal="center" vertical="center" wrapText="1"/>
    </xf>
    <xf numFmtId="164" fontId="7" fillId="17" borderId="1" xfId="1" applyFont="1" applyFill="1" applyBorder="1" applyAlignment="1" applyProtection="1">
      <alignment horizontal="center" vertical="center" wrapText="1"/>
    </xf>
    <xf numFmtId="164" fontId="7" fillId="20" borderId="2" xfId="1" applyFont="1" applyFill="1" applyBorder="1" applyAlignment="1" applyProtection="1">
      <alignment horizontal="left" vertical="center" wrapText="1"/>
    </xf>
    <xf numFmtId="164" fontId="7" fillId="20" borderId="3" xfId="1" applyFont="1" applyFill="1" applyBorder="1" applyAlignment="1" applyProtection="1">
      <alignment horizontal="left" vertical="center" wrapText="1"/>
    </xf>
    <xf numFmtId="164" fontId="7" fillId="20" borderId="4" xfId="1" applyFont="1" applyFill="1" applyBorder="1" applyAlignment="1" applyProtection="1">
      <alignment horizontal="left" vertical="center" wrapText="1"/>
    </xf>
    <xf numFmtId="164" fontId="7" fillId="20" borderId="11" xfId="1" applyFont="1" applyFill="1" applyBorder="1" applyAlignment="1" applyProtection="1">
      <alignment horizontal="left" vertical="center" wrapText="1"/>
    </xf>
    <xf numFmtId="164" fontId="7" fillId="20" borderId="13" xfId="1" applyFont="1" applyFill="1" applyBorder="1" applyAlignment="1" applyProtection="1">
      <alignment horizontal="left" vertical="center" wrapText="1"/>
    </xf>
    <xf numFmtId="164" fontId="7" fillId="20" borderId="14" xfId="1" applyFont="1" applyFill="1" applyBorder="1" applyAlignment="1" applyProtection="1">
      <alignment horizontal="left" vertical="center" wrapText="1"/>
    </xf>
    <xf numFmtId="164" fontId="6" fillId="17" borderId="2" xfId="1" applyFont="1" applyFill="1" applyBorder="1" applyAlignment="1" applyProtection="1">
      <alignment horizontal="center" vertical="center" wrapText="1"/>
    </xf>
    <xf numFmtId="164" fontId="6" fillId="17" borderId="3" xfId="1" applyFont="1" applyFill="1" applyBorder="1" applyAlignment="1" applyProtection="1">
      <alignment horizontal="center" vertical="center" wrapText="1"/>
    </xf>
    <xf numFmtId="164" fontId="6" fillId="17" borderId="4" xfId="1" applyFont="1" applyFill="1" applyBorder="1" applyAlignment="1" applyProtection="1">
      <alignment horizontal="center" vertical="center" wrapText="1"/>
    </xf>
    <xf numFmtId="164" fontId="7" fillId="20" borderId="2" xfId="1" applyFont="1" applyFill="1" applyBorder="1" applyAlignment="1" applyProtection="1">
      <alignment horizontal="center" vertical="center" wrapText="1"/>
    </xf>
    <xf numFmtId="164" fontId="7" fillId="20" borderId="3" xfId="1" applyFont="1" applyFill="1" applyBorder="1" applyAlignment="1" applyProtection="1">
      <alignment horizontal="center" vertical="center" wrapText="1"/>
    </xf>
    <xf numFmtId="164" fontId="7" fillId="20" borderId="4" xfId="1" applyFont="1" applyFill="1" applyBorder="1" applyAlignment="1" applyProtection="1">
      <alignment horizontal="center" vertical="center" wrapText="1"/>
    </xf>
    <xf numFmtId="164" fontId="32" fillId="20" borderId="3" xfId="1" applyFont="1" applyFill="1" applyBorder="1" applyAlignment="1" applyProtection="1">
      <alignment horizontal="center" vertical="center" wrapText="1"/>
    </xf>
    <xf numFmtId="164" fontId="32" fillId="20" borderId="4" xfId="1" applyFont="1" applyFill="1" applyBorder="1" applyAlignment="1" applyProtection="1">
      <alignment horizontal="center" vertical="center" wrapText="1"/>
    </xf>
    <xf numFmtId="164" fontId="32" fillId="20" borderId="2" xfId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center" wrapText="1"/>
    </xf>
    <xf numFmtId="0" fontId="58" fillId="0" borderId="12" xfId="0" applyFont="1" applyBorder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0" fillId="6" borderId="8" xfId="0" applyFont="1" applyFill="1" applyBorder="1" applyAlignment="1" applyProtection="1">
      <alignment horizontal="center" vertical="center" textRotation="90" wrapText="1"/>
      <protection locked="0"/>
    </xf>
    <xf numFmtId="0" fontId="10" fillId="6" borderId="9" xfId="0" applyFont="1" applyFill="1" applyBorder="1" applyAlignment="1" applyProtection="1">
      <alignment horizontal="center" vertical="center" textRotation="90" wrapText="1"/>
      <protection locked="0"/>
    </xf>
    <xf numFmtId="0" fontId="11" fillId="8" borderId="8" xfId="0" applyFont="1" applyFill="1" applyBorder="1" applyAlignment="1" applyProtection="1">
      <alignment horizontal="center" vertical="center" textRotation="90" wrapText="1"/>
      <protection locked="0"/>
    </xf>
    <xf numFmtId="0" fontId="11" fillId="8" borderId="9" xfId="0" applyFont="1" applyFill="1" applyBorder="1" applyAlignment="1" applyProtection="1">
      <alignment horizontal="center" vertical="center" textRotation="90" wrapText="1"/>
      <protection locked="0"/>
    </xf>
    <xf numFmtId="0" fontId="10" fillId="10" borderId="8" xfId="0" applyFont="1" applyFill="1" applyBorder="1" applyAlignment="1" applyProtection="1">
      <alignment horizontal="center" vertical="center" textRotation="90" wrapText="1"/>
      <protection locked="0"/>
    </xf>
    <xf numFmtId="0" fontId="10" fillId="10" borderId="9" xfId="0" applyFont="1" applyFill="1" applyBorder="1" applyAlignment="1" applyProtection="1">
      <alignment horizontal="center" vertical="center" textRotation="90" wrapText="1"/>
      <protection locked="0"/>
    </xf>
    <xf numFmtId="0" fontId="10" fillId="9" borderId="8" xfId="0" applyFont="1" applyFill="1" applyBorder="1" applyAlignment="1" applyProtection="1">
      <alignment horizontal="center" vertical="center" textRotation="90" wrapText="1"/>
      <protection locked="0"/>
    </xf>
    <xf numFmtId="0" fontId="10" fillId="9" borderId="9" xfId="0" applyFont="1" applyFill="1" applyBorder="1" applyAlignment="1" applyProtection="1">
      <alignment horizontal="center" vertical="center" textRotation="90" wrapText="1"/>
      <protection locked="0"/>
    </xf>
    <xf numFmtId="0" fontId="11" fillId="2" borderId="8" xfId="0" applyFont="1" applyFill="1" applyBorder="1" applyAlignment="1" applyProtection="1">
      <alignment horizontal="center" vertical="center" textRotation="90" wrapText="1"/>
      <protection locked="0"/>
    </xf>
    <xf numFmtId="0" fontId="11" fillId="2" borderId="9" xfId="0" applyFont="1" applyFill="1" applyBorder="1" applyAlignment="1" applyProtection="1">
      <alignment horizontal="center" vertical="center" textRotation="90" wrapText="1"/>
      <protection locked="0"/>
    </xf>
    <xf numFmtId="0" fontId="29" fillId="8" borderId="8" xfId="0" applyFont="1" applyFill="1" applyBorder="1" applyAlignment="1" applyProtection="1">
      <alignment horizontal="center" vertical="center" textRotation="90" wrapText="1"/>
      <protection locked="0"/>
    </xf>
    <xf numFmtId="0" fontId="29" fillId="8" borderId="9" xfId="0" applyFont="1" applyFill="1" applyBorder="1" applyAlignment="1" applyProtection="1">
      <alignment horizontal="center" vertical="center" textRotation="90" wrapText="1"/>
      <protection locked="0"/>
    </xf>
    <xf numFmtId="0" fontId="11" fillId="22" borderId="8" xfId="0" applyFont="1" applyFill="1" applyBorder="1" applyAlignment="1" applyProtection="1">
      <alignment horizontal="center" vertical="center" textRotation="90" wrapText="1"/>
      <protection locked="0"/>
    </xf>
    <xf numFmtId="0" fontId="11" fillId="22" borderId="9" xfId="0" applyFont="1" applyFill="1" applyBorder="1" applyAlignment="1" applyProtection="1">
      <alignment horizontal="center" vertical="center" textRotation="90" wrapText="1"/>
      <protection locked="0"/>
    </xf>
    <xf numFmtId="0" fontId="11" fillId="9" borderId="8" xfId="0" applyFont="1" applyFill="1" applyBorder="1" applyAlignment="1" applyProtection="1">
      <alignment horizontal="center" vertical="center" textRotation="90" wrapText="1"/>
      <protection locked="0"/>
    </xf>
    <xf numFmtId="0" fontId="11" fillId="9" borderId="9" xfId="0" applyFont="1" applyFill="1" applyBorder="1" applyAlignment="1" applyProtection="1">
      <alignment horizontal="center" vertical="center" textRotation="90" wrapText="1"/>
      <protection locked="0"/>
    </xf>
    <xf numFmtId="0" fontId="23" fillId="7" borderId="8" xfId="0" applyFont="1" applyFill="1" applyBorder="1" applyAlignment="1" applyProtection="1">
      <alignment horizontal="center" vertical="center" textRotation="90" wrapText="1"/>
      <protection locked="0"/>
    </xf>
    <xf numFmtId="0" fontId="23" fillId="7" borderId="9" xfId="0" applyFont="1" applyFill="1" applyBorder="1" applyAlignment="1" applyProtection="1">
      <alignment horizontal="center" vertical="center" textRotation="90" wrapText="1"/>
      <protection locked="0"/>
    </xf>
    <xf numFmtId="0" fontId="23" fillId="19" borderId="8" xfId="0" applyFont="1" applyFill="1" applyBorder="1" applyAlignment="1" applyProtection="1">
      <alignment horizontal="center" vertical="center" textRotation="90" wrapText="1"/>
      <protection locked="0"/>
    </xf>
    <xf numFmtId="0" fontId="23" fillId="19" borderId="9" xfId="0" applyFont="1" applyFill="1" applyBorder="1" applyAlignment="1" applyProtection="1">
      <alignment horizontal="center" vertical="center" textRotation="90" wrapText="1"/>
      <protection locked="0"/>
    </xf>
    <xf numFmtId="0" fontId="20" fillId="0" borderId="8" xfId="0" applyFont="1" applyBorder="1" applyAlignment="1" applyProtection="1">
      <alignment horizontal="center" vertical="center" textRotation="90" wrapText="1"/>
      <protection locked="0"/>
    </xf>
    <xf numFmtId="0" fontId="20" fillId="0" borderId="9" xfId="0" applyFont="1" applyBorder="1" applyAlignment="1" applyProtection="1">
      <alignment horizontal="center" vertical="center" textRotation="90" wrapText="1"/>
      <protection locked="0"/>
    </xf>
    <xf numFmtId="0" fontId="29" fillId="20" borderId="8" xfId="0" applyFont="1" applyFill="1" applyBorder="1" applyAlignment="1" applyProtection="1">
      <alignment horizontal="center" vertical="center" textRotation="90" wrapText="1"/>
      <protection locked="0"/>
    </xf>
    <xf numFmtId="0" fontId="29" fillId="20" borderId="9" xfId="0" applyFont="1" applyFill="1" applyBorder="1" applyAlignment="1" applyProtection="1">
      <alignment horizontal="center" vertical="center" textRotation="90" wrapText="1"/>
      <protection locked="0"/>
    </xf>
    <xf numFmtId="0" fontId="29" fillId="13" borderId="8" xfId="0" applyFont="1" applyFill="1" applyBorder="1" applyAlignment="1" applyProtection="1">
      <alignment horizontal="center" vertical="center" textRotation="90" wrapText="1"/>
      <protection locked="0"/>
    </xf>
    <xf numFmtId="0" fontId="29" fillId="13" borderId="9" xfId="0" applyFont="1" applyFill="1" applyBorder="1" applyAlignment="1" applyProtection="1">
      <alignment horizontal="center" vertical="center" textRotation="90" wrapText="1"/>
      <protection locked="0"/>
    </xf>
    <xf numFmtId="0" fontId="29" fillId="23" borderId="8" xfId="0" applyFont="1" applyFill="1" applyBorder="1" applyAlignment="1" applyProtection="1">
      <alignment horizontal="center" vertical="center" textRotation="90" wrapText="1"/>
      <protection locked="0"/>
    </xf>
    <xf numFmtId="0" fontId="29" fillId="23" borderId="9" xfId="0" applyFont="1" applyFill="1" applyBorder="1" applyAlignment="1" applyProtection="1">
      <alignment horizontal="center" vertical="center" textRotation="90" wrapText="1"/>
      <protection locked="0"/>
    </xf>
    <xf numFmtId="0" fontId="16" fillId="0" borderId="8" xfId="0" applyFont="1" applyBorder="1" applyAlignment="1" applyProtection="1">
      <alignment horizontal="center" vertical="center" textRotation="90" wrapText="1"/>
      <protection locked="0"/>
    </xf>
    <xf numFmtId="0" fontId="16" fillId="0" borderId="9" xfId="0" applyFont="1" applyBorder="1" applyAlignment="1" applyProtection="1">
      <alignment horizontal="center" vertical="center" textRotation="90" wrapText="1"/>
      <protection locked="0"/>
    </xf>
    <xf numFmtId="0" fontId="18" fillId="0" borderId="8" xfId="0" applyFont="1" applyBorder="1" applyAlignment="1" applyProtection="1">
      <alignment horizontal="center" vertical="center" textRotation="90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17" fillId="11" borderId="8" xfId="0" applyFont="1" applyFill="1" applyBorder="1" applyAlignment="1" applyProtection="1">
      <alignment horizontal="center" vertical="center" textRotation="90" wrapText="1"/>
      <protection locked="0"/>
    </xf>
    <xf numFmtId="0" fontId="17" fillId="11" borderId="9" xfId="0" applyFont="1" applyFill="1" applyBorder="1" applyAlignment="1" applyProtection="1">
      <alignment horizontal="center" vertical="center" textRotation="90" wrapText="1"/>
      <protection locked="0"/>
    </xf>
    <xf numFmtId="0" fontId="19" fillId="0" borderId="8" xfId="0" applyFont="1" applyBorder="1" applyAlignment="1" applyProtection="1">
      <alignment horizontal="center" vertical="center" textRotation="90" wrapText="1"/>
      <protection locked="0"/>
    </xf>
    <xf numFmtId="0" fontId="19" fillId="0" borderId="9" xfId="0" applyFont="1" applyBorder="1" applyAlignment="1" applyProtection="1">
      <alignment horizontal="center" vertical="center" textRotation="90" wrapText="1"/>
      <protection locked="0"/>
    </xf>
    <xf numFmtId="0" fontId="11" fillId="0" borderId="0" xfId="0" applyFont="1" applyAlignment="1">
      <alignment horizontal="left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 textRotation="90" wrapText="1"/>
    </xf>
    <xf numFmtId="0" fontId="10" fillId="6" borderId="9" xfId="0" applyFont="1" applyFill="1" applyBorder="1" applyAlignment="1">
      <alignment horizontal="center" vertical="center" textRotation="90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textRotation="90" wrapText="1"/>
    </xf>
    <xf numFmtId="0" fontId="25" fillId="9" borderId="9" xfId="0" applyFont="1" applyFill="1" applyBorder="1" applyAlignment="1">
      <alignment horizontal="center" vertical="center" textRotation="90" wrapText="1"/>
    </xf>
    <xf numFmtId="0" fontId="11" fillId="19" borderId="8" xfId="0" applyFont="1" applyFill="1" applyBorder="1" applyAlignment="1">
      <alignment horizontal="center" vertical="center" textRotation="90" wrapText="1"/>
    </xf>
    <xf numFmtId="0" fontId="11" fillId="19" borderId="9" xfId="0" applyFont="1" applyFill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9" borderId="8" xfId="0" applyFont="1" applyFill="1" applyBorder="1" applyAlignment="1">
      <alignment horizontal="center" vertical="center" textRotation="90" wrapText="1"/>
    </xf>
    <xf numFmtId="0" fontId="11" fillId="9" borderId="9" xfId="0" applyFont="1" applyFill="1" applyBorder="1" applyAlignment="1">
      <alignment horizontal="center" vertical="center" textRotation="90" wrapText="1"/>
    </xf>
  </cellXfs>
  <cellStyles count="5">
    <cellStyle name="Excel Built-in Currency" xfId="2"/>
    <cellStyle name="Excel Built-in Normal" xfId="1"/>
    <cellStyle name="Денежный" xfId="4" builtinId="4"/>
    <cellStyle name="Обычный" xfId="0" builtinId="0"/>
    <cellStyle name="Финансовый" xfId="3" builtinId="3"/>
  </cellStyles>
  <dxfs count="0"/>
  <tableStyles count="0" defaultTableStyle="TableStyleMedium2" defaultPivotStyle="PivotStyleMedium9"/>
  <colors>
    <mruColors>
      <color rgb="FFF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topLeftCell="A91" zoomScale="90" zoomScaleNormal="90" workbookViewId="0">
      <selection activeCell="J104" sqref="J104"/>
    </sheetView>
  </sheetViews>
  <sheetFormatPr defaultRowHeight="15" x14ac:dyDescent="0.25"/>
  <cols>
    <col min="1" max="1" width="5.7109375" customWidth="1"/>
    <col min="2" max="2" width="21.85546875" customWidth="1"/>
    <col min="3" max="3" width="24.42578125" customWidth="1"/>
    <col min="4" max="4" width="18.140625" customWidth="1"/>
    <col min="5" max="5" width="18.42578125" customWidth="1"/>
    <col min="6" max="6" width="20.5703125" customWidth="1"/>
    <col min="7" max="7" width="47.42578125" customWidth="1"/>
    <col min="8" max="8" width="12.5703125" bestFit="1" customWidth="1"/>
    <col min="10" max="11" width="12.5703125" bestFit="1" customWidth="1"/>
  </cols>
  <sheetData>
    <row r="1" spans="1:8" ht="27" customHeight="1" x14ac:dyDescent="0.25">
      <c r="A1" s="51" t="s">
        <v>252</v>
      </c>
      <c r="C1" s="52"/>
      <c r="D1" s="52"/>
      <c r="E1" s="52"/>
      <c r="F1" s="52"/>
    </row>
    <row r="2" spans="1:8" ht="27" customHeight="1" x14ac:dyDescent="0.25">
      <c r="A2" s="53" t="s">
        <v>9</v>
      </c>
      <c r="B2" s="53" t="s">
        <v>1</v>
      </c>
      <c r="C2" s="53" t="s">
        <v>2</v>
      </c>
      <c r="D2" s="54" t="s">
        <v>10</v>
      </c>
      <c r="E2" s="55" t="s">
        <v>11</v>
      </c>
      <c r="F2" s="54" t="s">
        <v>12</v>
      </c>
    </row>
    <row r="3" spans="1:8" x14ac:dyDescent="0.25">
      <c r="A3" s="237" t="s">
        <v>13</v>
      </c>
      <c r="B3" s="237"/>
      <c r="C3" s="237"/>
      <c r="D3" s="237"/>
      <c r="E3" s="237"/>
      <c r="F3" s="237"/>
    </row>
    <row r="4" spans="1:8" ht="16.5" customHeight="1" x14ac:dyDescent="0.25">
      <c r="A4" s="22">
        <v>1</v>
      </c>
      <c r="B4" s="1" t="s">
        <v>14</v>
      </c>
      <c r="C4" s="1" t="s">
        <v>15</v>
      </c>
      <c r="D4" s="56">
        <f>198673+69600</f>
        <v>268273</v>
      </c>
      <c r="E4" s="56">
        <f>84912+194356</f>
        <v>279268</v>
      </c>
      <c r="F4" s="56">
        <v>0</v>
      </c>
      <c r="G4" s="92" t="s">
        <v>253</v>
      </c>
    </row>
    <row r="5" spans="1:8" ht="17.25" customHeight="1" x14ac:dyDescent="0.25">
      <c r="A5" s="22">
        <v>2</v>
      </c>
      <c r="B5" s="1" t="s">
        <v>16</v>
      </c>
      <c r="C5" s="1" t="s">
        <v>17</v>
      </c>
      <c r="D5" s="56">
        <v>217239</v>
      </c>
      <c r="E5" s="56">
        <v>212245</v>
      </c>
      <c r="F5" s="56">
        <v>0</v>
      </c>
      <c r="G5" s="183" t="s">
        <v>249</v>
      </c>
    </row>
    <row r="6" spans="1:8" ht="21" customHeight="1" x14ac:dyDescent="0.25">
      <c r="A6" s="22">
        <v>3</v>
      </c>
      <c r="B6" s="1" t="s">
        <v>18</v>
      </c>
      <c r="C6" s="1" t="s">
        <v>19</v>
      </c>
      <c r="D6" s="56">
        <v>206283</v>
      </c>
      <c r="E6" s="56">
        <v>201644</v>
      </c>
      <c r="F6" s="56">
        <v>0</v>
      </c>
      <c r="G6" s="183" t="s">
        <v>250</v>
      </c>
    </row>
    <row r="7" spans="1:8" x14ac:dyDescent="0.25">
      <c r="A7" s="238"/>
      <c r="B7" s="238"/>
      <c r="C7" s="238"/>
      <c r="D7" s="64">
        <f>SUM(D4:D6)</f>
        <v>691795</v>
      </c>
      <c r="E7" s="64">
        <f t="shared" ref="E7" si="0">SUM(E4:E6)</f>
        <v>693157</v>
      </c>
      <c r="F7" s="64">
        <f>SUM(F4:F6)</f>
        <v>0</v>
      </c>
    </row>
    <row r="8" spans="1:8" x14ac:dyDescent="0.25">
      <c r="A8" s="239" t="s">
        <v>20</v>
      </c>
      <c r="B8" s="239"/>
      <c r="C8" s="239"/>
      <c r="D8" s="239"/>
      <c r="E8" s="239"/>
      <c r="F8" s="239"/>
    </row>
    <row r="9" spans="1:8" x14ac:dyDescent="0.25">
      <c r="A9" s="22">
        <v>1</v>
      </c>
      <c r="B9" s="57" t="s">
        <v>3</v>
      </c>
      <c r="C9" s="23" t="s">
        <v>55</v>
      </c>
      <c r="D9" s="24">
        <v>68000</v>
      </c>
      <c r="E9" s="24"/>
      <c r="F9" s="24"/>
      <c r="G9" s="206" t="s">
        <v>207</v>
      </c>
    </row>
    <row r="10" spans="1:8" x14ac:dyDescent="0.25">
      <c r="A10" s="22">
        <v>2</v>
      </c>
      <c r="B10" s="57" t="str">
        <f>'Свод по СМР'!C5</f>
        <v>Мартынов Юрий</v>
      </c>
      <c r="C10" s="23" t="str">
        <f>'Свод по СМР'!D5</f>
        <v>прораб</v>
      </c>
      <c r="D10" s="24">
        <v>176088</v>
      </c>
      <c r="E10" s="24">
        <v>176088</v>
      </c>
      <c r="F10" s="24">
        <f t="shared" ref="F10" si="1">D10-E10</f>
        <v>0</v>
      </c>
      <c r="G10" s="184"/>
    </row>
    <row r="11" spans="1:8" x14ac:dyDescent="0.25">
      <c r="A11" s="22">
        <v>3</v>
      </c>
      <c r="B11" s="57" t="str">
        <f>'Свод по СМР'!C6</f>
        <v>Лютов Андрей</v>
      </c>
      <c r="C11" s="23" t="str">
        <f>'Свод по СМР'!D6</f>
        <v>нач.участка</v>
      </c>
      <c r="D11" s="24">
        <v>198012</v>
      </c>
      <c r="E11" s="24">
        <v>443460</v>
      </c>
      <c r="F11" s="24">
        <v>0</v>
      </c>
      <c r="G11" s="42" t="s">
        <v>269</v>
      </c>
      <c r="H11" s="82"/>
    </row>
    <row r="12" spans="1:8" x14ac:dyDescent="0.25">
      <c r="A12" s="22">
        <v>4</v>
      </c>
      <c r="B12" s="57" t="str">
        <f>'Свод по СМР'!C7</f>
        <v>Сонько А.С.</v>
      </c>
      <c r="C12" s="58" t="s">
        <v>55</v>
      </c>
      <c r="D12" s="24">
        <v>140560</v>
      </c>
      <c r="E12" s="24"/>
      <c r="F12" s="24"/>
      <c r="G12" s="78" t="s">
        <v>217</v>
      </c>
    </row>
    <row r="13" spans="1:8" x14ac:dyDescent="0.25">
      <c r="A13" s="22">
        <v>5</v>
      </c>
      <c r="B13" s="57" t="str">
        <f>'Свод по СМР'!C8</f>
        <v>Тарасов С.О.</v>
      </c>
      <c r="C13" s="58" t="s">
        <v>55</v>
      </c>
      <c r="D13" s="24">
        <v>120060</v>
      </c>
      <c r="E13" s="24">
        <v>270060</v>
      </c>
      <c r="F13" s="24">
        <v>0</v>
      </c>
      <c r="G13" s="230" t="s">
        <v>261</v>
      </c>
    </row>
    <row r="14" spans="1:8" x14ac:dyDescent="0.25">
      <c r="A14" s="22">
        <v>6</v>
      </c>
      <c r="B14" s="57" t="s">
        <v>270</v>
      </c>
      <c r="C14" s="58" t="s">
        <v>54</v>
      </c>
      <c r="D14" s="24">
        <v>200056</v>
      </c>
      <c r="E14" s="24">
        <v>200056</v>
      </c>
      <c r="F14" s="24">
        <v>0</v>
      </c>
      <c r="G14" s="230"/>
    </row>
    <row r="15" spans="1:8" ht="15.75" customHeight="1" x14ac:dyDescent="0.25">
      <c r="A15" s="22">
        <v>7</v>
      </c>
      <c r="B15" s="57" t="str">
        <f>'Свод по СМР'!C10</f>
        <v>Грибенко В.В.</v>
      </c>
      <c r="C15" s="58" t="s">
        <v>96</v>
      </c>
      <c r="D15" s="24">
        <v>125028</v>
      </c>
      <c r="E15" s="24">
        <v>226354</v>
      </c>
      <c r="F15" s="24">
        <v>0</v>
      </c>
      <c r="G15" s="230" t="s">
        <v>261</v>
      </c>
      <c r="H15" s="82"/>
    </row>
    <row r="16" spans="1:8" ht="17.25" customHeight="1" x14ac:dyDescent="0.25">
      <c r="A16" s="247"/>
      <c r="B16" s="248"/>
      <c r="C16" s="249"/>
      <c r="D16" s="65">
        <f>SUM(D9:D15)</f>
        <v>1027804</v>
      </c>
      <c r="E16" s="65">
        <f>SUM(E9:E15)</f>
        <v>1316018</v>
      </c>
      <c r="F16" s="65">
        <f>SUM(F9:F15)</f>
        <v>0</v>
      </c>
      <c r="H16" s="82" t="s">
        <v>83</v>
      </c>
    </row>
    <row r="17" spans="1:8" x14ac:dyDescent="0.25">
      <c r="A17" s="59"/>
      <c r="B17" s="253" t="s">
        <v>103</v>
      </c>
      <c r="C17" s="253"/>
      <c r="D17" s="253"/>
      <c r="E17" s="253"/>
      <c r="F17" s="254"/>
    </row>
    <row r="18" spans="1:8" ht="24" customHeight="1" x14ac:dyDescent="0.25">
      <c r="A18" s="22">
        <v>1</v>
      </c>
      <c r="B18" s="1" t="s">
        <v>214</v>
      </c>
      <c r="C18" s="1" t="s">
        <v>215</v>
      </c>
      <c r="D18" s="196">
        <v>180127</v>
      </c>
      <c r="E18" s="196">
        <v>360000</v>
      </c>
      <c r="F18" s="196">
        <v>0</v>
      </c>
      <c r="G18" s="78" t="s">
        <v>257</v>
      </c>
    </row>
    <row r="19" spans="1:8" ht="22.5" customHeight="1" x14ac:dyDescent="0.25">
      <c r="A19" s="22">
        <v>2</v>
      </c>
      <c r="B19" s="1" t="s">
        <v>98</v>
      </c>
      <c r="C19" s="1" t="s">
        <v>99</v>
      </c>
      <c r="D19" s="24">
        <f>'Свод по СМР'!AG11</f>
        <v>104224</v>
      </c>
      <c r="E19" s="24">
        <v>112686</v>
      </c>
      <c r="F19" s="196">
        <v>0</v>
      </c>
      <c r="G19" s="207" t="s">
        <v>263</v>
      </c>
      <c r="H19" s="82"/>
    </row>
    <row r="20" spans="1:8" ht="17.25" customHeight="1" x14ac:dyDescent="0.25">
      <c r="A20" s="22">
        <v>3</v>
      </c>
      <c r="B20" s="1" t="s">
        <v>52</v>
      </c>
      <c r="C20" s="1" t="s">
        <v>59</v>
      </c>
      <c r="D20" s="24">
        <f>'Свод по СМР'!AG40</f>
        <v>143000</v>
      </c>
      <c r="E20" s="24">
        <v>263000</v>
      </c>
      <c r="F20" s="196">
        <v>0</v>
      </c>
      <c r="G20" s="92" t="s">
        <v>257</v>
      </c>
      <c r="H20" s="92"/>
    </row>
    <row r="21" spans="1:8" ht="17.25" customHeight="1" x14ac:dyDescent="0.25">
      <c r="A21" s="22">
        <v>4</v>
      </c>
      <c r="B21" s="1" t="s">
        <v>151</v>
      </c>
      <c r="C21" s="1" t="s">
        <v>91</v>
      </c>
      <c r="D21" s="24">
        <v>94500</v>
      </c>
      <c r="E21" s="24">
        <v>94534</v>
      </c>
      <c r="F21" s="196">
        <v>0</v>
      </c>
      <c r="G21" s="80" t="s">
        <v>278</v>
      </c>
      <c r="H21" s="81"/>
    </row>
    <row r="22" spans="1:8" ht="17.25" customHeight="1" x14ac:dyDescent="0.25">
      <c r="A22" s="22">
        <v>5</v>
      </c>
      <c r="B22" s="1" t="str">
        <f>'Свод по СМР'!C43</f>
        <v>Дранников А.С.</v>
      </c>
      <c r="C22" s="1" t="str">
        <f>'Свод по СМР'!D43</f>
        <v>электрик</v>
      </c>
      <c r="D22" s="24">
        <v>160045</v>
      </c>
      <c r="E22" s="24">
        <v>145496</v>
      </c>
      <c r="F22" s="196">
        <v>0</v>
      </c>
      <c r="G22" s="80" t="s">
        <v>265</v>
      </c>
      <c r="H22" s="81"/>
    </row>
    <row r="23" spans="1:8" ht="18" customHeight="1" x14ac:dyDescent="0.25">
      <c r="A23" s="22">
        <v>6</v>
      </c>
      <c r="B23" s="1" t="s">
        <v>101</v>
      </c>
      <c r="C23" s="1" t="s">
        <v>152</v>
      </c>
      <c r="D23" s="24">
        <v>150423</v>
      </c>
      <c r="E23" s="24">
        <v>300422</v>
      </c>
      <c r="F23" s="196">
        <v>0</v>
      </c>
      <c r="G23" s="230" t="s">
        <v>261</v>
      </c>
    </row>
    <row r="24" spans="1:8" x14ac:dyDescent="0.25">
      <c r="A24" s="66"/>
      <c r="B24" s="67"/>
      <c r="C24" s="67"/>
      <c r="D24" s="68">
        <f>SUM(D18:D23)</f>
        <v>832319</v>
      </c>
      <c r="E24" s="68">
        <f>SUM(E18:E23)</f>
        <v>1276138</v>
      </c>
      <c r="F24" s="68">
        <f>SUM(F18:F23)</f>
        <v>0</v>
      </c>
    </row>
    <row r="25" spans="1:8" ht="15" customHeight="1" x14ac:dyDescent="0.25">
      <c r="A25" s="255" t="s">
        <v>156</v>
      </c>
      <c r="B25" s="253"/>
      <c r="C25" s="253"/>
      <c r="D25" s="253"/>
      <c r="E25" s="253"/>
      <c r="F25" s="254"/>
    </row>
    <row r="26" spans="1:8" ht="15" customHeight="1" x14ac:dyDescent="0.25">
      <c r="A26" s="22">
        <v>1</v>
      </c>
      <c r="B26" s="57" t="str">
        <f>'Свод по СМР'!C37</f>
        <v>Суюналиев Б.</v>
      </c>
      <c r="C26" s="60" t="str">
        <f>'Свод по СМР'!D37</f>
        <v>сварщик</v>
      </c>
      <c r="D26" s="24">
        <f>'Свод по СМР'!AG37</f>
        <v>156050</v>
      </c>
      <c r="E26" s="24">
        <v>156050</v>
      </c>
      <c r="F26" s="24">
        <f>D26-E26</f>
        <v>0</v>
      </c>
      <c r="G26" s="92"/>
    </row>
    <row r="27" spans="1:8" ht="15" customHeight="1" x14ac:dyDescent="0.25">
      <c r="A27" s="22">
        <v>2</v>
      </c>
      <c r="B27" s="57" t="str">
        <f>'Свод по СМР'!C38</f>
        <v>Луцук Олег</v>
      </c>
      <c r="C27" s="60" t="str">
        <f>'Свод по СМР'!D38</f>
        <v>сварщик ПЭ</v>
      </c>
      <c r="D27" s="24">
        <f>'Свод по СМР'!AG38</f>
        <v>120000</v>
      </c>
      <c r="E27" s="37">
        <v>120000</v>
      </c>
      <c r="F27" s="24">
        <f t="shared" ref="F27:F33" si="2">D27-E27</f>
        <v>0</v>
      </c>
      <c r="G27" s="181"/>
    </row>
    <row r="28" spans="1:8" ht="15" customHeight="1" x14ac:dyDescent="0.25">
      <c r="A28" s="22">
        <v>3</v>
      </c>
      <c r="B28" s="57" t="s">
        <v>179</v>
      </c>
      <c r="C28" s="60" t="str">
        <f>'Свод по СМР'!D40</f>
        <v>монтажник</v>
      </c>
      <c r="D28" s="24">
        <f>'Свод по СМР'!AG39</f>
        <v>137000</v>
      </c>
      <c r="E28" s="24">
        <v>257000</v>
      </c>
      <c r="F28" s="24">
        <v>0</v>
      </c>
      <c r="G28" s="80" t="s">
        <v>261</v>
      </c>
    </row>
    <row r="29" spans="1:8" ht="14.25" customHeight="1" x14ac:dyDescent="0.25">
      <c r="A29" s="22">
        <v>4</v>
      </c>
      <c r="B29" s="57" t="str">
        <f>'Свод по СМР'!C41</f>
        <v>Каримов П.</v>
      </c>
      <c r="C29" s="60" t="str">
        <f>'Свод по СМР'!D41</f>
        <v>монтажник</v>
      </c>
      <c r="D29" s="24">
        <f>'Свод по СМР'!AG41</f>
        <v>65000</v>
      </c>
      <c r="E29" s="24">
        <f>16165+10657</f>
        <v>26822</v>
      </c>
      <c r="F29" s="222">
        <f t="shared" si="2"/>
        <v>38178</v>
      </c>
      <c r="G29" s="42" t="s">
        <v>275</v>
      </c>
    </row>
    <row r="30" spans="1:8" x14ac:dyDescent="0.25">
      <c r="A30" s="22">
        <v>7</v>
      </c>
      <c r="B30" s="57" t="str">
        <f>'Свод по СМР'!C42</f>
        <v>Остапенко И.</v>
      </c>
      <c r="C30" s="60" t="str">
        <f>'Свод по СМР'!D42</f>
        <v>монтажник</v>
      </c>
      <c r="D30" s="24">
        <f>'Свод по СМР'!AG42</f>
        <v>115000</v>
      </c>
      <c r="E30" s="24"/>
      <c r="F30" s="222">
        <f t="shared" si="2"/>
        <v>115000</v>
      </c>
    </row>
    <row r="31" spans="1:8" x14ac:dyDescent="0.25">
      <c r="A31" s="22">
        <v>10</v>
      </c>
      <c r="B31" s="57" t="str">
        <f>'Свод по СМР'!C44</f>
        <v xml:space="preserve">Шахбоз </v>
      </c>
      <c r="C31" s="60" t="str">
        <f>'Свод по СМР'!D44</f>
        <v>монтажник</v>
      </c>
      <c r="D31" s="24">
        <f>'Свод по СМР'!AG44</f>
        <v>100000</v>
      </c>
      <c r="E31" s="24">
        <v>1822</v>
      </c>
      <c r="F31" s="24"/>
      <c r="G31" s="95" t="s">
        <v>276</v>
      </c>
    </row>
    <row r="32" spans="1:8" x14ac:dyDescent="0.25">
      <c r="A32" s="22">
        <v>11</v>
      </c>
      <c r="B32" s="57" t="str">
        <f>'Свод по СМР'!C45</f>
        <v>Дьячкова Н.С.</v>
      </c>
      <c r="C32" s="60" t="str">
        <f>'Свод по СМР'!D45</f>
        <v xml:space="preserve">уборщица </v>
      </c>
      <c r="D32" s="24">
        <f>'Свод по СМР'!AG45</f>
        <v>60000</v>
      </c>
      <c r="E32" s="24"/>
      <c r="F32" s="222">
        <f t="shared" si="2"/>
        <v>60000</v>
      </c>
      <c r="G32" s="220"/>
    </row>
    <row r="33" spans="1:9" x14ac:dyDescent="0.25">
      <c r="A33" s="22">
        <v>12</v>
      </c>
      <c r="B33" s="57" t="str">
        <f>'Свод по СМР'!C46</f>
        <v>Сизоненко О.</v>
      </c>
      <c r="C33" s="60" t="str">
        <f>'Свод по СМР'!D46</f>
        <v>уборщица кунцево</v>
      </c>
      <c r="D33" s="24">
        <f>'Свод по СМР'!AG46</f>
        <v>45000</v>
      </c>
      <c r="E33" s="24"/>
      <c r="F33" s="222">
        <f t="shared" si="2"/>
        <v>45000</v>
      </c>
      <c r="G33" s="220"/>
    </row>
    <row r="34" spans="1:9" x14ac:dyDescent="0.25">
      <c r="A34" s="69"/>
      <c r="B34" s="70"/>
      <c r="C34" s="84"/>
      <c r="D34" s="65">
        <f>SUM(D26:D33)</f>
        <v>798050</v>
      </c>
      <c r="E34" s="65">
        <f>SUM(E26:E33)</f>
        <v>561694</v>
      </c>
      <c r="F34" s="65">
        <f>SUM(F26:F33)</f>
        <v>258178</v>
      </c>
    </row>
    <row r="35" spans="1:9" ht="14.25" customHeight="1" x14ac:dyDescent="0.25">
      <c r="A35" s="250" t="s">
        <v>81</v>
      </c>
      <c r="B35" s="251"/>
      <c r="C35" s="251"/>
      <c r="D35" s="251"/>
      <c r="E35" s="251"/>
      <c r="F35" s="252"/>
    </row>
    <row r="36" spans="1:9" ht="20.25" customHeight="1" x14ac:dyDescent="0.25">
      <c r="A36" s="22">
        <v>1</v>
      </c>
      <c r="B36" s="57" t="str">
        <f>'Свод по СМР'!C12</f>
        <v>Титычко А.</v>
      </c>
      <c r="C36" s="60" t="str">
        <f>'Свод по СМР'!D12</f>
        <v>газель</v>
      </c>
      <c r="D36" s="24">
        <f>'Свод по СМР'!AG12</f>
        <v>0</v>
      </c>
      <c r="E36" s="24"/>
      <c r="F36" s="24">
        <f>D36-E36</f>
        <v>0</v>
      </c>
      <c r="G36" s="91"/>
    </row>
    <row r="37" spans="1:9" ht="18" customHeight="1" x14ac:dyDescent="0.25">
      <c r="A37" s="22">
        <v>2</v>
      </c>
      <c r="B37" s="57" t="str">
        <f>'Свод по СМР'!C13</f>
        <v>Ларионов А.</v>
      </c>
      <c r="C37" s="60" t="str">
        <f>'Свод по СМР'!D13</f>
        <v>JSB 5СХ</v>
      </c>
      <c r="D37" s="24">
        <f>'Свод по СМР'!AG13</f>
        <v>158340</v>
      </c>
      <c r="E37" s="38">
        <v>200479</v>
      </c>
      <c r="F37" s="24">
        <v>0</v>
      </c>
      <c r="G37" s="91" t="s">
        <v>263</v>
      </c>
    </row>
    <row r="38" spans="1:9" ht="15.75" customHeight="1" x14ac:dyDescent="0.25">
      <c r="A38" s="22">
        <v>3</v>
      </c>
      <c r="B38" s="57" t="str">
        <f>'Свод по СМР'!C14</f>
        <v>Шеховцов А.</v>
      </c>
      <c r="C38" s="60" t="str">
        <f>'Свод по СМР'!D14</f>
        <v>JSB 205</v>
      </c>
      <c r="D38" s="24">
        <f>'Свод по СМР'!AG14</f>
        <v>172290</v>
      </c>
      <c r="E38" s="38">
        <v>214175</v>
      </c>
      <c r="F38" s="24">
        <v>0</v>
      </c>
      <c r="G38" s="91" t="s">
        <v>268</v>
      </c>
    </row>
    <row r="39" spans="1:9" x14ac:dyDescent="0.25">
      <c r="A39" s="22">
        <v>4</v>
      </c>
      <c r="B39" s="57" t="str">
        <f>'Свод по СМР'!C15</f>
        <v>Манукян Р.</v>
      </c>
      <c r="C39" s="60" t="str">
        <f>'Свод по СМР'!D15</f>
        <v>кран</v>
      </c>
      <c r="D39" s="24">
        <f>'Свод по СМР'!AG15</f>
        <v>49880</v>
      </c>
      <c r="E39" s="38">
        <v>90397</v>
      </c>
      <c r="F39" s="24">
        <v>0</v>
      </c>
      <c r="G39" s="91" t="s">
        <v>263</v>
      </c>
    </row>
    <row r="40" spans="1:9" ht="17.25" customHeight="1" x14ac:dyDescent="0.25">
      <c r="A40" s="22">
        <v>5</v>
      </c>
      <c r="B40" s="57" t="str">
        <f>'Свод по СМР'!C16</f>
        <v>Василишин Е.</v>
      </c>
      <c r="C40" s="60" t="str">
        <f>'Свод по СМР'!D16</f>
        <v>автобус хендай</v>
      </c>
      <c r="D40" s="24">
        <f>'Свод по СМР'!AG16</f>
        <v>135000</v>
      </c>
      <c r="E40" s="38"/>
      <c r="F40" s="222">
        <f t="shared" ref="F40:F41" si="3">D40-E40</f>
        <v>135000</v>
      </c>
      <c r="G40" s="89" t="s">
        <v>182</v>
      </c>
      <c r="I40" s="5"/>
    </row>
    <row r="41" spans="1:9" ht="18.75" customHeight="1" x14ac:dyDescent="0.25">
      <c r="A41" s="22">
        <v>6</v>
      </c>
      <c r="B41" s="57" t="str">
        <f>'Свод по СМР'!C17</f>
        <v>Кармаев С.</v>
      </c>
      <c r="C41" s="60" t="str">
        <f>'Свод по СМР'!D17</f>
        <v>камаз 186</v>
      </c>
      <c r="D41" s="24">
        <f>'Свод по СМР'!AG17</f>
        <v>144340</v>
      </c>
      <c r="E41" s="38"/>
      <c r="F41" s="222">
        <f t="shared" si="3"/>
        <v>144340</v>
      </c>
      <c r="G41" s="89" t="s">
        <v>279</v>
      </c>
      <c r="I41" s="5"/>
    </row>
    <row r="42" spans="1:9" ht="16.5" customHeight="1" x14ac:dyDescent="0.25">
      <c r="A42" s="22">
        <v>7</v>
      </c>
      <c r="B42" s="57" t="str">
        <f>'Свод по СМР'!C18</f>
        <v>Гуртовенко А.</v>
      </c>
      <c r="C42" s="60" t="str">
        <f>'Свод по СМР'!D18</f>
        <v>сани 270</v>
      </c>
      <c r="D42" s="24">
        <f>'Свод по СМР'!AG18</f>
        <v>192500</v>
      </c>
      <c r="E42" s="38">
        <v>192500</v>
      </c>
      <c r="F42" s="24">
        <f>D42-E42</f>
        <v>0</v>
      </c>
      <c r="G42" s="96"/>
    </row>
    <row r="43" spans="1:9" ht="20.25" customHeight="1" x14ac:dyDescent="0.25">
      <c r="A43" s="22">
        <v>8</v>
      </c>
      <c r="B43" s="57" t="str">
        <f>'Свод по СМР'!C19</f>
        <v>Омаров В.</v>
      </c>
      <c r="C43" s="60" t="str">
        <f>'Свод по СМР'!D19</f>
        <v>Хово 459</v>
      </c>
      <c r="D43" s="24">
        <f>'Свод по СМР'!AG19</f>
        <v>127300</v>
      </c>
      <c r="E43" s="38">
        <v>127300</v>
      </c>
      <c r="F43" s="24">
        <f t="shared" ref="F43:F57" si="4">D43-E43</f>
        <v>0</v>
      </c>
      <c r="G43" s="79" t="s">
        <v>218</v>
      </c>
    </row>
    <row r="44" spans="1:9" ht="20.25" customHeight="1" x14ac:dyDescent="0.25">
      <c r="A44" s="22">
        <v>9</v>
      </c>
      <c r="B44" s="57" t="str">
        <f>'Свод по СМР'!C20</f>
        <v>Козин А.</v>
      </c>
      <c r="C44" s="60" t="str">
        <f>'Свод по СМР'!D20</f>
        <v>камаз 741</v>
      </c>
      <c r="D44" s="24">
        <f>'Свод по СМР'!AG20</f>
        <v>0</v>
      </c>
      <c r="E44" s="24">
        <v>18679</v>
      </c>
      <c r="F44" s="24">
        <v>0</v>
      </c>
      <c r="G44" s="80" t="s">
        <v>263</v>
      </c>
    </row>
    <row r="45" spans="1:9" ht="18.75" customHeight="1" x14ac:dyDescent="0.25">
      <c r="A45" s="22">
        <v>10</v>
      </c>
      <c r="B45" s="57" t="str">
        <f>'Свод по СМР'!C21</f>
        <v>Кукушин М.</v>
      </c>
      <c r="C45" s="60" t="str">
        <f>'Свод по СМР'!D21</f>
        <v>хино</v>
      </c>
      <c r="D45" s="24">
        <f>'Свод по СМР'!AG21</f>
        <v>181200</v>
      </c>
      <c r="E45" s="24">
        <v>181200</v>
      </c>
      <c r="F45" s="24">
        <f t="shared" si="4"/>
        <v>0</v>
      </c>
      <c r="G45" s="80"/>
    </row>
    <row r="46" spans="1:9" ht="18" customHeight="1" x14ac:dyDescent="0.25">
      <c r="A46" s="22">
        <v>11</v>
      </c>
      <c r="B46" s="57" t="str">
        <f>'Свод по СМР'!C23</f>
        <v>Симоненко Г.</v>
      </c>
      <c r="C46" s="60" t="str">
        <f>'Свод по СМР'!D23</f>
        <v>донгфенг</v>
      </c>
      <c r="D46" s="24">
        <f>'Свод по СМР'!AH23</f>
        <v>55380</v>
      </c>
      <c r="E46" s="24">
        <v>77005</v>
      </c>
      <c r="F46" s="24">
        <v>0</v>
      </c>
      <c r="G46" s="96" t="s">
        <v>263</v>
      </c>
    </row>
    <row r="47" spans="1:9" ht="18" customHeight="1" x14ac:dyDescent="0.25">
      <c r="A47" s="22">
        <v>12</v>
      </c>
      <c r="B47" s="57" t="str">
        <f>'Свод по СМР'!C24</f>
        <v>Ермолаев А.</v>
      </c>
      <c r="C47" s="60" t="str">
        <f>'Свод по СМР'!D24</f>
        <v>джсби 200</v>
      </c>
      <c r="D47" s="24">
        <f>'Свод по СМР'!AG24</f>
        <v>170900</v>
      </c>
      <c r="E47" s="24">
        <v>170900</v>
      </c>
      <c r="F47" s="24">
        <f t="shared" si="4"/>
        <v>0</v>
      </c>
      <c r="G47" s="80"/>
    </row>
    <row r="48" spans="1:9" ht="21" customHeight="1" x14ac:dyDescent="0.25">
      <c r="A48" s="22">
        <v>13</v>
      </c>
      <c r="B48" s="57" t="str">
        <f>'Свод по СМР'!C25</f>
        <v>Левочкин В.</v>
      </c>
      <c r="C48" s="60" t="str">
        <f>'Свод по СМР'!D25</f>
        <v>камаз 973</v>
      </c>
      <c r="D48" s="24">
        <f>'Свод по СМР'!AG25</f>
        <v>153960</v>
      </c>
      <c r="E48" s="24">
        <v>153960</v>
      </c>
      <c r="F48" s="24">
        <f t="shared" si="4"/>
        <v>0</v>
      </c>
      <c r="G48" s="80"/>
    </row>
    <row r="49" spans="1:7" ht="20.25" customHeight="1" x14ac:dyDescent="0.25">
      <c r="A49" s="22">
        <v>14</v>
      </c>
      <c r="B49" s="57" t="str">
        <f>'Свод по СМР'!C26</f>
        <v>Кузин А.</v>
      </c>
      <c r="C49" s="60" t="str">
        <f>'Свод по СМР'!D26</f>
        <v>JSB JS205</v>
      </c>
      <c r="D49" s="24">
        <f>'Свод по СМР'!AG26</f>
        <v>165140</v>
      </c>
      <c r="E49" s="24">
        <v>165140</v>
      </c>
      <c r="F49" s="24">
        <f t="shared" si="4"/>
        <v>0</v>
      </c>
      <c r="G49" s="90"/>
    </row>
    <row r="50" spans="1:7" ht="21.75" customHeight="1" x14ac:dyDescent="0.25">
      <c r="A50" s="22">
        <v>15</v>
      </c>
      <c r="B50" s="57" t="str">
        <f>'Свод по СМР'!C27</f>
        <v>Мельников В.</v>
      </c>
      <c r="C50" s="60" t="str">
        <f>'Свод по СМР'!D27</f>
        <v>кран сани 25т</v>
      </c>
      <c r="D50" s="24">
        <f>'Свод по СМР'!AG27</f>
        <v>122500</v>
      </c>
      <c r="E50" s="24">
        <v>122500</v>
      </c>
      <c r="F50" s="24">
        <f t="shared" si="4"/>
        <v>0</v>
      </c>
      <c r="G50" s="80"/>
    </row>
    <row r="51" spans="1:7" ht="22.5" customHeight="1" x14ac:dyDescent="0.25">
      <c r="A51" s="22">
        <v>16</v>
      </c>
      <c r="B51" s="57" t="str">
        <f>'Свод по СМР'!C28</f>
        <v>Абашкин</v>
      </c>
      <c r="C51" s="60" t="str">
        <f>'Свод по СМР'!D28</f>
        <v>камаз 156</v>
      </c>
      <c r="D51" s="24">
        <f>'Свод по СМР'!AG28</f>
        <v>162680</v>
      </c>
      <c r="E51" s="24">
        <v>162680</v>
      </c>
      <c r="F51" s="24">
        <f t="shared" si="4"/>
        <v>0</v>
      </c>
      <c r="G51" s="80"/>
    </row>
    <row r="52" spans="1:7" ht="22.5" customHeight="1" x14ac:dyDescent="0.25">
      <c r="A52" s="22">
        <v>17</v>
      </c>
      <c r="B52" s="57" t="str">
        <f>'Свод по СМР'!C29</f>
        <v>Ларин С.</v>
      </c>
      <c r="C52" s="60" t="str">
        <f>'Свод по СМР'!D29</f>
        <v>кран сани 25т</v>
      </c>
      <c r="D52" s="24">
        <f>'Свод по СМР'!AG29</f>
        <v>122500</v>
      </c>
      <c r="E52" s="24">
        <v>122500</v>
      </c>
      <c r="F52" s="24">
        <f t="shared" si="4"/>
        <v>0</v>
      </c>
      <c r="G52" s="80"/>
    </row>
    <row r="53" spans="1:7" ht="22.5" customHeight="1" x14ac:dyDescent="0.25">
      <c r="A53" s="22">
        <v>18</v>
      </c>
      <c r="B53" s="57" t="str">
        <f>'Свод по СМР'!C30</f>
        <v>Волков В.</v>
      </c>
      <c r="C53" s="60" t="str">
        <f>'Свод по СМР'!D30</f>
        <v>кран сани 55т</v>
      </c>
      <c r="D53" s="24">
        <f>'Свод по СМР'!AG30</f>
        <v>137500</v>
      </c>
      <c r="E53" s="24">
        <v>137500</v>
      </c>
      <c r="F53" s="24">
        <f t="shared" si="4"/>
        <v>0</v>
      </c>
      <c r="G53" s="80"/>
    </row>
    <row r="54" spans="1:7" ht="22.5" customHeight="1" x14ac:dyDescent="0.25">
      <c r="A54" s="22">
        <v>19</v>
      </c>
      <c r="B54" s="57" t="str">
        <f>'Свод по СМР'!C31</f>
        <v>Каут А.</v>
      </c>
      <c r="C54" s="60" t="str">
        <f>'Свод по СМР'!D31</f>
        <v>кран клинцы</v>
      </c>
      <c r="D54" s="24">
        <f>'Свод по СМР'!AG31</f>
        <v>198260</v>
      </c>
      <c r="E54" s="24">
        <v>231933</v>
      </c>
      <c r="F54" s="24">
        <v>0</v>
      </c>
      <c r="G54" s="80" t="s">
        <v>263</v>
      </c>
    </row>
    <row r="55" spans="1:7" ht="22.5" customHeight="1" x14ac:dyDescent="0.25">
      <c r="A55" s="22">
        <v>20</v>
      </c>
      <c r="B55" s="57" t="str">
        <f>'Свод по СМР'!C32</f>
        <v xml:space="preserve">Ясеновский </v>
      </c>
      <c r="C55" s="60" t="str">
        <f>'Свод по СМР'!D32</f>
        <v>CASE</v>
      </c>
      <c r="D55" s="24">
        <f>'Свод по СМР'!AG32</f>
        <v>176700</v>
      </c>
      <c r="E55" s="24">
        <v>176700</v>
      </c>
      <c r="F55" s="24">
        <f t="shared" si="4"/>
        <v>0</v>
      </c>
      <c r="G55" s="93"/>
    </row>
    <row r="56" spans="1:7" ht="21.75" customHeight="1" x14ac:dyDescent="0.25">
      <c r="A56" s="22">
        <v>21</v>
      </c>
      <c r="B56" s="57" t="str">
        <f>'Свод по СМР'!C33</f>
        <v>Стецуренко С.</v>
      </c>
      <c r="C56" s="60" t="str">
        <f>'Свод по СМР'!D33</f>
        <v>ловол</v>
      </c>
      <c r="D56" s="24">
        <f>'Свод по СМР'!AG33</f>
        <v>123940</v>
      </c>
      <c r="E56" s="24">
        <v>123940</v>
      </c>
      <c r="F56" s="24">
        <f t="shared" si="4"/>
        <v>0</v>
      </c>
      <c r="G56" s="93"/>
    </row>
    <row r="57" spans="1:7" ht="20.25" customHeight="1" x14ac:dyDescent="0.25">
      <c r="A57" s="22">
        <v>22</v>
      </c>
      <c r="B57" s="57" t="str">
        <f>'Свод по СМР'!C34</f>
        <v>Бугаев</v>
      </c>
      <c r="C57" s="60" t="str">
        <f>'Свод по СМР'!D34</f>
        <v>камаз 622</v>
      </c>
      <c r="D57" s="24">
        <f>'Свод по СМР'!AG34</f>
        <v>0</v>
      </c>
      <c r="E57" s="24"/>
      <c r="F57" s="24">
        <f t="shared" si="4"/>
        <v>0</v>
      </c>
      <c r="G57" s="80"/>
    </row>
    <row r="58" spans="1:7" ht="18" customHeight="1" x14ac:dyDescent="0.25">
      <c r="A58" s="22">
        <v>23</v>
      </c>
      <c r="B58" s="57" t="str">
        <f>'Свод по СМР'!C35</f>
        <v>Иванов С.</v>
      </c>
      <c r="C58" s="60" t="str">
        <f>'Свод по СМР'!D35</f>
        <v>газель</v>
      </c>
      <c r="D58" s="24">
        <f>'Свод по СМР'!AG35</f>
        <v>174350</v>
      </c>
      <c r="E58" s="24">
        <v>174349</v>
      </c>
      <c r="F58" s="24">
        <v>0</v>
      </c>
      <c r="G58" s="79"/>
    </row>
    <row r="59" spans="1:7" ht="18" customHeight="1" x14ac:dyDescent="0.25">
      <c r="A59" s="22">
        <v>24</v>
      </c>
      <c r="B59" s="57" t="str">
        <f>'Свод по СМР'!C36</f>
        <v>Козин С.</v>
      </c>
      <c r="C59" s="60" t="str">
        <f>'Свод по СМР'!D36</f>
        <v>мойщик</v>
      </c>
      <c r="D59" s="24">
        <f>'Свод по СМР'!AG36</f>
        <v>120000</v>
      </c>
      <c r="E59" s="24">
        <v>120000</v>
      </c>
      <c r="F59" s="24">
        <f t="shared" ref="F59:F63" si="5">D59-E59</f>
        <v>0</v>
      </c>
      <c r="G59" s="79"/>
    </row>
    <row r="60" spans="1:7" ht="18" customHeight="1" x14ac:dyDescent="0.25">
      <c r="A60" s="22">
        <v>25</v>
      </c>
      <c r="B60" s="57" t="s">
        <v>154</v>
      </c>
      <c r="C60" s="60" t="s">
        <v>155</v>
      </c>
      <c r="D60" s="24">
        <v>135600</v>
      </c>
      <c r="E60" s="24">
        <v>138345</v>
      </c>
      <c r="F60" s="24">
        <v>0</v>
      </c>
      <c r="G60" s="216" t="s">
        <v>267</v>
      </c>
    </row>
    <row r="61" spans="1:7" ht="20.25" customHeight="1" x14ac:dyDescent="0.25">
      <c r="A61" s="22">
        <v>26</v>
      </c>
      <c r="B61" s="57" t="s">
        <v>146</v>
      </c>
      <c r="C61" s="58" t="s">
        <v>96</v>
      </c>
      <c r="D61" s="24">
        <f>130500</f>
        <v>130500</v>
      </c>
      <c r="E61" s="24">
        <v>49201</v>
      </c>
      <c r="F61" s="24">
        <v>0</v>
      </c>
      <c r="G61" s="79" t="s">
        <v>272</v>
      </c>
    </row>
    <row r="62" spans="1:7" ht="20.25" customHeight="1" x14ac:dyDescent="0.25">
      <c r="A62" s="22">
        <v>28</v>
      </c>
      <c r="B62" s="57" t="s">
        <v>184</v>
      </c>
      <c r="C62" s="58" t="s">
        <v>183</v>
      </c>
      <c r="D62" s="24">
        <v>50000</v>
      </c>
      <c r="E62" s="24"/>
      <c r="F62" s="222">
        <f t="shared" si="5"/>
        <v>50000</v>
      </c>
      <c r="G62" s="78"/>
    </row>
    <row r="63" spans="1:7" ht="20.25" customHeight="1" x14ac:dyDescent="0.25">
      <c r="A63" s="22">
        <v>29</v>
      </c>
      <c r="B63" s="57" t="s">
        <v>193</v>
      </c>
      <c r="C63" s="58" t="s">
        <v>194</v>
      </c>
      <c r="D63" s="24">
        <v>90306</v>
      </c>
      <c r="E63" s="24">
        <v>90306</v>
      </c>
      <c r="F63" s="24">
        <f t="shared" si="5"/>
        <v>0</v>
      </c>
      <c r="G63" s="80"/>
    </row>
    <row r="64" spans="1:7" x14ac:dyDescent="0.25">
      <c r="A64" s="72"/>
      <c r="B64" s="73"/>
      <c r="C64" s="74"/>
      <c r="D64" s="75">
        <f>SUM(D36:D63)</f>
        <v>3451066</v>
      </c>
      <c r="E64" s="75">
        <f>SUM(E36:E63)</f>
        <v>3241689</v>
      </c>
      <c r="F64" s="75">
        <f>SUM(F36:F63)</f>
        <v>329340</v>
      </c>
      <c r="G64" s="5"/>
    </row>
    <row r="65" spans="1:8" ht="18" customHeight="1" x14ac:dyDescent="0.25">
      <c r="A65" s="49"/>
      <c r="B65" s="50" t="s">
        <v>87</v>
      </c>
      <c r="C65" s="48"/>
      <c r="D65" s="32"/>
      <c r="E65" s="179" t="s">
        <v>174</v>
      </c>
      <c r="F65" s="180" t="s">
        <v>175</v>
      </c>
    </row>
    <row r="66" spans="1:8" x14ac:dyDescent="0.25">
      <c r="A66" s="22">
        <v>1</v>
      </c>
      <c r="B66" s="57" t="str">
        <f>Иностранцы!B7</f>
        <v>Хажиев Б.</v>
      </c>
      <c r="C66" s="23" t="s">
        <v>102</v>
      </c>
      <c r="D66" s="24">
        <f>Иностранцы!N7</f>
        <v>130000</v>
      </c>
      <c r="E66" s="38">
        <v>130000</v>
      </c>
      <c r="F66" s="24">
        <f t="shared" ref="F66:F72" si="6">D66-E66</f>
        <v>0</v>
      </c>
      <c r="G66" s="225" t="s">
        <v>274</v>
      </c>
    </row>
    <row r="67" spans="1:8" x14ac:dyDescent="0.25">
      <c r="A67" s="22">
        <v>2</v>
      </c>
      <c r="B67" s="57" t="str">
        <f>Иностранцы!B8</f>
        <v>Аллабергенов Г.</v>
      </c>
      <c r="C67" s="23" t="s">
        <v>102</v>
      </c>
      <c r="D67" s="24">
        <f>Иностранцы!N8</f>
        <v>130000</v>
      </c>
      <c r="E67" s="38">
        <v>130000</v>
      </c>
      <c r="F67" s="24">
        <f t="shared" si="6"/>
        <v>0</v>
      </c>
      <c r="G67" s="225" t="s">
        <v>240</v>
      </c>
    </row>
    <row r="68" spans="1:8" x14ac:dyDescent="0.25">
      <c r="A68" s="22">
        <v>3</v>
      </c>
      <c r="B68" s="57" t="str">
        <f>Иностранцы!B9</f>
        <v>Сабиров Х.Х.У.</v>
      </c>
      <c r="C68" s="23" t="s">
        <v>102</v>
      </c>
      <c r="D68" s="24">
        <f>Иностранцы!N9</f>
        <v>130000</v>
      </c>
      <c r="E68" s="38">
        <v>130000</v>
      </c>
      <c r="F68" s="24">
        <f t="shared" si="6"/>
        <v>0</v>
      </c>
      <c r="G68" s="225" t="s">
        <v>240</v>
      </c>
    </row>
    <row r="69" spans="1:8" x14ac:dyDescent="0.25">
      <c r="A69" s="22">
        <v>4</v>
      </c>
      <c r="B69" s="57" t="str">
        <f>Иностранцы!B10</f>
        <v>Нуриддинов Ф.С.</v>
      </c>
      <c r="C69" s="23" t="s">
        <v>102</v>
      </c>
      <c r="D69" s="24">
        <f>Иностранцы!N10</f>
        <v>142000</v>
      </c>
      <c r="E69" s="38">
        <f>14355+14355</f>
        <v>28710</v>
      </c>
      <c r="F69" s="222">
        <f t="shared" si="6"/>
        <v>113290</v>
      </c>
      <c r="G69" s="94" t="s">
        <v>133</v>
      </c>
    </row>
    <row r="70" spans="1:8" x14ac:dyDescent="0.25">
      <c r="A70" s="22">
        <v>5</v>
      </c>
      <c r="B70" s="57" t="str">
        <f>Иностранцы!B11</f>
        <v>Сабиров А.</v>
      </c>
      <c r="C70" s="23" t="s">
        <v>102</v>
      </c>
      <c r="D70" s="24">
        <f>Иностранцы!N11</f>
        <v>130000</v>
      </c>
      <c r="E70" s="38">
        <v>130000</v>
      </c>
      <c r="F70" s="24">
        <f t="shared" si="6"/>
        <v>0</v>
      </c>
      <c r="G70" s="225" t="s">
        <v>240</v>
      </c>
    </row>
    <row r="71" spans="1:8" x14ac:dyDescent="0.25">
      <c r="A71" s="22">
        <v>6</v>
      </c>
      <c r="B71" s="57" t="str">
        <f>Иностранцы!B13</f>
        <v>Назарзода Олими</v>
      </c>
      <c r="C71" s="23" t="str">
        <f>Иностранцы!C13</f>
        <v>мнт</v>
      </c>
      <c r="D71" s="24">
        <f>Иностранцы!N13</f>
        <v>116600</v>
      </c>
      <c r="E71" s="38">
        <v>132787</v>
      </c>
      <c r="F71" s="24">
        <v>0</v>
      </c>
      <c r="G71" s="225" t="s">
        <v>273</v>
      </c>
    </row>
    <row r="72" spans="1:8" x14ac:dyDescent="0.25">
      <c r="A72" s="22">
        <v>7</v>
      </c>
      <c r="B72" s="57" t="str">
        <f>Иностранцы!B14</f>
        <v>Назаров Комилжон</v>
      </c>
      <c r="C72" s="23" t="str">
        <f>Иностранцы!C14</f>
        <v>мнт</v>
      </c>
      <c r="D72" s="24">
        <f>Иностранцы!N14</f>
        <v>145000</v>
      </c>
      <c r="E72" s="38">
        <v>145000</v>
      </c>
      <c r="F72" s="24">
        <f t="shared" si="6"/>
        <v>0</v>
      </c>
      <c r="G72" s="225" t="s">
        <v>240</v>
      </c>
    </row>
    <row r="73" spans="1:8" x14ac:dyDescent="0.25">
      <c r="A73" s="22">
        <v>8</v>
      </c>
      <c r="B73" s="57" t="str">
        <f>Иностранцы!B15</f>
        <v>Курбонов Сулаймон</v>
      </c>
      <c r="C73" s="23" t="str">
        <f>Иностранцы!C15</f>
        <v>мнт</v>
      </c>
      <c r="D73" s="24">
        <f>Иностранцы!N15</f>
        <v>110000</v>
      </c>
      <c r="E73" s="38">
        <v>125204</v>
      </c>
      <c r="F73" s="24">
        <v>0</v>
      </c>
      <c r="G73" s="225" t="s">
        <v>273</v>
      </c>
    </row>
    <row r="74" spans="1:8" x14ac:dyDescent="0.25">
      <c r="A74" s="69"/>
      <c r="B74" s="70"/>
      <c r="C74" s="71"/>
      <c r="D74" s="65">
        <f>SUM(D66:D73)</f>
        <v>1033600</v>
      </c>
      <c r="E74" s="65">
        <f>SUM(E66:E73)</f>
        <v>951701</v>
      </c>
      <c r="F74" s="65">
        <f>SUM(F66:F73)</f>
        <v>113290</v>
      </c>
    </row>
    <row r="75" spans="1:8" ht="14.25" customHeight="1" x14ac:dyDescent="0.25">
      <c r="A75" s="47"/>
      <c r="B75" s="76" t="str">
        <f>Иностранцы!B17</f>
        <v>ТАДЖИКИ</v>
      </c>
      <c r="C75" s="48"/>
      <c r="D75" s="32"/>
      <c r="E75" s="179" t="s">
        <v>174</v>
      </c>
      <c r="F75" s="180" t="s">
        <v>175</v>
      </c>
    </row>
    <row r="76" spans="1:8" ht="18.75" customHeight="1" x14ac:dyDescent="0.25">
      <c r="A76" s="22">
        <v>1</v>
      </c>
      <c r="B76" s="57" t="str">
        <f>Иностранцы!B18</f>
        <v>Назаров О.М.</v>
      </c>
      <c r="C76" s="23" t="str">
        <f>Иностранцы!C19</f>
        <v>МНТ</v>
      </c>
      <c r="D76" s="24">
        <f>Иностранцы!N18</f>
        <v>142000</v>
      </c>
      <c r="E76" s="38">
        <f>10657+10658</f>
        <v>21315</v>
      </c>
      <c r="F76" s="222">
        <f>D76-E76</f>
        <v>120685</v>
      </c>
      <c r="G76" s="94" t="s">
        <v>133</v>
      </c>
    </row>
    <row r="77" spans="1:8" ht="18.75" customHeight="1" x14ac:dyDescent="0.25">
      <c r="A77" s="22">
        <v>2</v>
      </c>
      <c r="B77" s="57" t="str">
        <f>Иностранцы!B19</f>
        <v>Бабажанов С</v>
      </c>
      <c r="C77" s="23" t="str">
        <f>Иностранцы!C22</f>
        <v>МНТ</v>
      </c>
      <c r="D77" s="24">
        <f>Иностранцы!N19</f>
        <v>137800</v>
      </c>
      <c r="E77" s="38">
        <v>137800</v>
      </c>
      <c r="F77" s="24">
        <f t="shared" ref="F77:F80" si="7">D77-E77</f>
        <v>0</v>
      </c>
      <c r="G77" s="224" t="s">
        <v>238</v>
      </c>
    </row>
    <row r="78" spans="1:8" ht="18.75" customHeight="1" x14ac:dyDescent="0.25">
      <c r="A78" s="22">
        <v>3</v>
      </c>
      <c r="B78" s="57" t="str">
        <f>Иностранцы!B20</f>
        <v>Меликулов У.</v>
      </c>
      <c r="C78" s="23" t="s">
        <v>77</v>
      </c>
      <c r="D78" s="24">
        <f>Иностранцы!N20</f>
        <v>120000</v>
      </c>
      <c r="E78" s="38">
        <f>10658+10657</f>
        <v>21315</v>
      </c>
      <c r="F78" s="222">
        <f t="shared" si="7"/>
        <v>98685</v>
      </c>
      <c r="G78" s="94" t="s">
        <v>185</v>
      </c>
      <c r="H78" s="195" t="s">
        <v>209</v>
      </c>
    </row>
    <row r="79" spans="1:8" ht="18.75" customHeight="1" x14ac:dyDescent="0.25">
      <c r="A79" s="22">
        <v>4</v>
      </c>
      <c r="B79" s="57" t="str">
        <f>Иностранцы!B21</f>
        <v>Расулов Ф.</v>
      </c>
      <c r="C79" s="23" t="s">
        <v>77</v>
      </c>
      <c r="D79" s="24">
        <f>Иностранцы!N21</f>
        <v>128000</v>
      </c>
      <c r="E79" s="38">
        <v>130065</v>
      </c>
      <c r="F79" s="24"/>
      <c r="G79" s="224" t="s">
        <v>264</v>
      </c>
      <c r="H79" s="195"/>
    </row>
    <row r="80" spans="1:8" ht="18.75" customHeight="1" x14ac:dyDescent="0.25">
      <c r="A80" s="22">
        <v>5</v>
      </c>
      <c r="B80" s="57" t="str">
        <f>Иностранцы!B22</f>
        <v>Зокиров П.</v>
      </c>
      <c r="C80" s="23" t="s">
        <v>102</v>
      </c>
      <c r="D80" s="24">
        <v>130065</v>
      </c>
      <c r="E80" s="38">
        <v>94592</v>
      </c>
      <c r="F80" s="231">
        <f t="shared" si="7"/>
        <v>35473</v>
      </c>
      <c r="G80" s="224" t="s">
        <v>238</v>
      </c>
    </row>
    <row r="81" spans="1:9" x14ac:dyDescent="0.25">
      <c r="A81" s="240"/>
      <c r="B81" s="240"/>
      <c r="C81" s="240"/>
      <c r="D81" s="77">
        <f>SUM(D76:D80)</f>
        <v>657865</v>
      </c>
      <c r="E81" s="77">
        <f>SUM(E76:E80)</f>
        <v>405087</v>
      </c>
      <c r="F81" s="77">
        <f>SUM(F76:F80)</f>
        <v>254843</v>
      </c>
    </row>
    <row r="82" spans="1:9" x14ac:dyDescent="0.25">
      <c r="A82" s="241" t="s">
        <v>21</v>
      </c>
      <c r="B82" s="242"/>
      <c r="C82" s="242"/>
      <c r="D82" s="242"/>
      <c r="E82" s="242"/>
      <c r="F82" s="243"/>
    </row>
    <row r="83" spans="1:9" ht="15.75" customHeight="1" x14ac:dyDescent="0.25">
      <c r="A83" s="22">
        <v>1</v>
      </c>
      <c r="B83" s="23" t="s">
        <v>22</v>
      </c>
      <c r="C83" s="25" t="s">
        <v>23</v>
      </c>
      <c r="D83" s="26">
        <v>143712</v>
      </c>
      <c r="E83" s="26">
        <v>143712</v>
      </c>
      <c r="F83" s="26">
        <f>D83-E83</f>
        <v>0</v>
      </c>
      <c r="G83" s="184"/>
    </row>
    <row r="84" spans="1:9" ht="18.75" customHeight="1" x14ac:dyDescent="0.25">
      <c r="A84" s="22">
        <v>2</v>
      </c>
      <c r="B84" s="1" t="s">
        <v>24</v>
      </c>
      <c r="C84" s="2" t="s">
        <v>25</v>
      </c>
      <c r="D84" s="24">
        <f>229836</f>
        <v>229836</v>
      </c>
      <c r="E84" s="24">
        <v>229836</v>
      </c>
      <c r="F84" s="209">
        <f t="shared" ref="F84:F89" si="8">D84-E84</f>
        <v>0</v>
      </c>
      <c r="G84" s="80" t="s">
        <v>140</v>
      </c>
    </row>
    <row r="85" spans="1:9" ht="18" customHeight="1" x14ac:dyDescent="0.25">
      <c r="A85" s="22">
        <v>3</v>
      </c>
      <c r="B85" s="1" t="s">
        <v>26</v>
      </c>
      <c r="C85" s="2" t="s">
        <v>226</v>
      </c>
      <c r="D85" s="24">
        <v>165000</v>
      </c>
      <c r="E85" s="24">
        <f>210022+25121</f>
        <v>235143</v>
      </c>
      <c r="F85" s="26">
        <v>0</v>
      </c>
      <c r="G85" s="78" t="s">
        <v>260</v>
      </c>
    </row>
    <row r="86" spans="1:9" ht="20.25" customHeight="1" x14ac:dyDescent="0.25">
      <c r="A86" s="22">
        <v>4</v>
      </c>
      <c r="B86" s="1" t="s">
        <v>227</v>
      </c>
      <c r="C86" s="2" t="s">
        <v>228</v>
      </c>
      <c r="D86" s="24">
        <v>140244</v>
      </c>
      <c r="E86" s="24">
        <v>190244</v>
      </c>
      <c r="F86" s="26">
        <v>0</v>
      </c>
      <c r="G86" s="230" t="s">
        <v>257</v>
      </c>
    </row>
    <row r="87" spans="1:9" ht="24" x14ac:dyDescent="0.25">
      <c r="A87" s="22">
        <v>5</v>
      </c>
      <c r="B87" s="1" t="s">
        <v>27</v>
      </c>
      <c r="C87" s="21" t="s">
        <v>28</v>
      </c>
      <c r="D87" s="24">
        <f>116000</f>
        <v>116000</v>
      </c>
      <c r="E87" s="24"/>
      <c r="F87" s="26">
        <v>0</v>
      </c>
      <c r="G87" s="80"/>
    </row>
    <row r="88" spans="1:9" ht="24" x14ac:dyDescent="0.25">
      <c r="A88" s="22">
        <v>6</v>
      </c>
      <c r="B88" s="1" t="s">
        <v>29</v>
      </c>
      <c r="C88" s="21" t="s">
        <v>28</v>
      </c>
      <c r="D88" s="24">
        <v>110534</v>
      </c>
      <c r="E88" s="24"/>
      <c r="F88" s="26">
        <v>0</v>
      </c>
      <c r="G88" s="90"/>
    </row>
    <row r="89" spans="1:9" ht="26.25" customHeight="1" x14ac:dyDescent="0.25">
      <c r="A89" s="22">
        <v>7</v>
      </c>
      <c r="B89" s="1" t="s">
        <v>197</v>
      </c>
      <c r="C89" s="39" t="s">
        <v>230</v>
      </c>
      <c r="D89" s="24">
        <v>100006</v>
      </c>
      <c r="E89" s="24"/>
      <c r="F89" s="26">
        <f t="shared" si="8"/>
        <v>100006</v>
      </c>
      <c r="G89" s="90"/>
    </row>
    <row r="90" spans="1:9" ht="26.25" customHeight="1" x14ac:dyDescent="0.25">
      <c r="A90" s="22">
        <v>8</v>
      </c>
      <c r="B90" s="1" t="s">
        <v>198</v>
      </c>
      <c r="C90" s="39" t="s">
        <v>230</v>
      </c>
      <c r="D90" s="24">
        <v>100006</v>
      </c>
      <c r="E90" s="24"/>
      <c r="F90" s="26">
        <v>0</v>
      </c>
      <c r="G90" s="80"/>
    </row>
    <row r="91" spans="1:9" x14ac:dyDescent="0.25">
      <c r="A91" s="192"/>
      <c r="B91" s="193"/>
      <c r="C91" s="194"/>
      <c r="D91" s="65">
        <f>SUM(D83:D90)</f>
        <v>1105338</v>
      </c>
      <c r="E91" s="65">
        <f t="shared" ref="E91" si="9">SUM(E83:E90)</f>
        <v>798935</v>
      </c>
      <c r="F91" s="65">
        <f>SUM(F83:F90)</f>
        <v>100006</v>
      </c>
    </row>
    <row r="92" spans="1:9" ht="15.75" customHeight="1" x14ac:dyDescent="0.25">
      <c r="A92" s="244" t="s">
        <v>30</v>
      </c>
      <c r="B92" s="245"/>
      <c r="C92" s="245"/>
      <c r="D92" s="245"/>
      <c r="E92" s="245"/>
      <c r="F92" s="246"/>
    </row>
    <row r="93" spans="1:9" ht="18" customHeight="1" x14ac:dyDescent="0.25">
      <c r="A93" s="22">
        <v>1</v>
      </c>
      <c r="B93" s="1" t="s">
        <v>31</v>
      </c>
      <c r="C93" s="2" t="s">
        <v>32</v>
      </c>
      <c r="D93" s="24">
        <f>206790+14355</f>
        <v>221145</v>
      </c>
      <c r="E93" s="24">
        <f>209923+14355</f>
        <v>224278</v>
      </c>
      <c r="F93" s="24">
        <v>0</v>
      </c>
      <c r="G93" s="184" t="s">
        <v>277</v>
      </c>
      <c r="H93" s="83"/>
      <c r="I93" s="43"/>
    </row>
    <row r="94" spans="1:9" ht="18" customHeight="1" x14ac:dyDescent="0.25">
      <c r="A94" s="22">
        <v>2</v>
      </c>
      <c r="B94" s="1" t="s">
        <v>33</v>
      </c>
      <c r="C94" s="2" t="s">
        <v>34</v>
      </c>
      <c r="D94" s="24">
        <v>140070</v>
      </c>
      <c r="E94" s="24">
        <v>224442</v>
      </c>
      <c r="F94" s="24">
        <v>0</v>
      </c>
      <c r="G94" s="230" t="s">
        <v>257</v>
      </c>
    </row>
    <row r="95" spans="1:9" ht="15.75" customHeight="1" x14ac:dyDescent="0.25">
      <c r="A95" s="22">
        <v>3</v>
      </c>
      <c r="B95" s="1" t="s">
        <v>35</v>
      </c>
      <c r="C95" s="2" t="s">
        <v>36</v>
      </c>
      <c r="D95" s="24">
        <v>100016</v>
      </c>
      <c r="E95" s="24">
        <v>182196</v>
      </c>
      <c r="F95" s="24">
        <v>0</v>
      </c>
      <c r="G95" s="230" t="s">
        <v>261</v>
      </c>
      <c r="I95" t="s">
        <v>83</v>
      </c>
    </row>
    <row r="96" spans="1:9" ht="15.75" customHeight="1" x14ac:dyDescent="0.25">
      <c r="A96" s="22">
        <v>4</v>
      </c>
      <c r="B96" s="1" t="s">
        <v>195</v>
      </c>
      <c r="C96" s="2" t="s">
        <v>34</v>
      </c>
      <c r="D96" s="24">
        <v>90132</v>
      </c>
      <c r="E96" s="24">
        <v>141259</v>
      </c>
      <c r="F96" s="24">
        <v>0</v>
      </c>
      <c r="G96" s="230" t="s">
        <v>257</v>
      </c>
    </row>
    <row r="97" spans="1:11" ht="17.25" customHeight="1" x14ac:dyDescent="0.25">
      <c r="A97" s="22">
        <v>5</v>
      </c>
      <c r="B97" s="1" t="s">
        <v>37</v>
      </c>
      <c r="C97" s="2" t="s">
        <v>38</v>
      </c>
      <c r="D97" s="24">
        <v>50112</v>
      </c>
      <c r="E97" s="24">
        <v>38723</v>
      </c>
      <c r="F97" s="24">
        <v>0</v>
      </c>
      <c r="G97" s="80" t="s">
        <v>263</v>
      </c>
    </row>
    <row r="98" spans="1:11" ht="17.25" customHeight="1" x14ac:dyDescent="0.25">
      <c r="A98" s="22">
        <v>6</v>
      </c>
      <c r="B98" s="1" t="s">
        <v>39</v>
      </c>
      <c r="C98" s="2" t="s">
        <v>40</v>
      </c>
      <c r="D98" s="24">
        <v>165021</v>
      </c>
      <c r="E98" s="24">
        <v>165022</v>
      </c>
      <c r="F98" s="24">
        <v>0</v>
      </c>
      <c r="G98" s="184"/>
      <c r="H98" s="79"/>
    </row>
    <row r="99" spans="1:11" ht="15.75" customHeight="1" x14ac:dyDescent="0.25">
      <c r="A99" s="22">
        <v>7</v>
      </c>
      <c r="B99" s="1" t="s">
        <v>41</v>
      </c>
      <c r="C99" s="2" t="s">
        <v>42</v>
      </c>
      <c r="D99" s="24">
        <v>115500</v>
      </c>
      <c r="E99" s="24">
        <v>198412</v>
      </c>
      <c r="F99" s="24">
        <v>0</v>
      </c>
      <c r="G99" s="184"/>
    </row>
    <row r="100" spans="1:11" ht="15.75" customHeight="1" x14ac:dyDescent="0.25">
      <c r="A100" s="22">
        <v>8</v>
      </c>
      <c r="B100" s="1" t="s">
        <v>43</v>
      </c>
      <c r="C100" s="2" t="s">
        <v>40</v>
      </c>
      <c r="D100" s="24">
        <v>65041</v>
      </c>
      <c r="E100" s="24">
        <v>30000</v>
      </c>
      <c r="F100" s="24">
        <v>0</v>
      </c>
      <c r="G100" s="90" t="s">
        <v>259</v>
      </c>
    </row>
    <row r="101" spans="1:11" ht="17.25" customHeight="1" x14ac:dyDescent="0.25">
      <c r="A101" s="22">
        <v>9</v>
      </c>
      <c r="B101" s="1" t="s">
        <v>44</v>
      </c>
      <c r="C101" s="2" t="s">
        <v>40</v>
      </c>
      <c r="D101" s="24">
        <v>115532</v>
      </c>
      <c r="E101" s="24">
        <v>208379</v>
      </c>
      <c r="F101" s="24">
        <v>0</v>
      </c>
      <c r="G101" s="230" t="s">
        <v>261</v>
      </c>
    </row>
    <row r="102" spans="1:11" ht="19.5" customHeight="1" x14ac:dyDescent="0.25">
      <c r="A102" s="22">
        <v>10</v>
      </c>
      <c r="B102" s="1" t="s">
        <v>45</v>
      </c>
      <c r="C102" s="2" t="s">
        <v>125</v>
      </c>
      <c r="D102" s="38">
        <v>182630</v>
      </c>
      <c r="E102" s="24">
        <v>340438</v>
      </c>
      <c r="F102" s="24">
        <v>0</v>
      </c>
      <c r="G102" s="184" t="s">
        <v>266</v>
      </c>
    </row>
    <row r="103" spans="1:11" ht="18" customHeight="1" x14ac:dyDescent="0.25">
      <c r="A103" s="22">
        <v>11</v>
      </c>
      <c r="B103" s="1" t="s">
        <v>74</v>
      </c>
      <c r="C103" s="2" t="s">
        <v>40</v>
      </c>
      <c r="D103" s="38">
        <v>120750</v>
      </c>
      <c r="E103" s="24">
        <v>220792</v>
      </c>
      <c r="F103" s="24">
        <v>0</v>
      </c>
      <c r="G103" s="230" t="s">
        <v>261</v>
      </c>
    </row>
    <row r="104" spans="1:11" ht="22.5" customHeight="1" x14ac:dyDescent="0.25">
      <c r="A104" s="22">
        <v>12</v>
      </c>
      <c r="B104" s="1" t="s">
        <v>93</v>
      </c>
      <c r="C104" s="21" t="s">
        <v>94</v>
      </c>
      <c r="D104" s="38">
        <v>134224</v>
      </c>
      <c r="E104" s="24">
        <v>253581</v>
      </c>
      <c r="F104" s="24">
        <v>0</v>
      </c>
      <c r="G104" s="230" t="s">
        <v>261</v>
      </c>
    </row>
    <row r="105" spans="1:11" ht="18" customHeight="1" x14ac:dyDescent="0.25">
      <c r="A105" s="22">
        <v>14</v>
      </c>
      <c r="B105" s="1" t="s">
        <v>89</v>
      </c>
      <c r="C105" s="2" t="s">
        <v>121</v>
      </c>
      <c r="D105" s="24">
        <v>158075</v>
      </c>
      <c r="E105" s="24">
        <v>340908</v>
      </c>
      <c r="F105" s="24">
        <v>0</v>
      </c>
      <c r="G105" s="90" t="s">
        <v>224</v>
      </c>
    </row>
    <row r="106" spans="1:11" ht="24" customHeight="1" x14ac:dyDescent="0.25">
      <c r="A106" s="22">
        <v>15</v>
      </c>
      <c r="B106" s="1" t="s">
        <v>86</v>
      </c>
      <c r="C106" s="21" t="s">
        <v>153</v>
      </c>
      <c r="D106" s="37">
        <v>110298</v>
      </c>
      <c r="E106" s="24">
        <v>211582</v>
      </c>
      <c r="F106" s="24">
        <v>0</v>
      </c>
      <c r="G106" s="230" t="s">
        <v>261</v>
      </c>
      <c r="H106" t="s">
        <v>83</v>
      </c>
      <c r="K106" s="185"/>
    </row>
    <row r="107" spans="1:11" ht="21.75" customHeight="1" x14ac:dyDescent="0.25">
      <c r="A107" s="22">
        <v>16</v>
      </c>
      <c r="B107" s="1" t="s">
        <v>123</v>
      </c>
      <c r="C107" s="21" t="s">
        <v>124</v>
      </c>
      <c r="D107" s="37">
        <v>120582</v>
      </c>
      <c r="E107" s="24">
        <v>200582</v>
      </c>
      <c r="F107" s="24">
        <v>0</v>
      </c>
      <c r="G107" s="230" t="s">
        <v>261</v>
      </c>
    </row>
    <row r="108" spans="1:11" ht="21.75" customHeight="1" x14ac:dyDescent="0.25">
      <c r="A108" s="22">
        <v>17</v>
      </c>
      <c r="B108" s="1" t="s">
        <v>127</v>
      </c>
      <c r="C108" s="21" t="s">
        <v>128</v>
      </c>
      <c r="D108" s="37">
        <v>110185</v>
      </c>
      <c r="E108" s="24">
        <v>195226</v>
      </c>
      <c r="F108" s="24">
        <v>0</v>
      </c>
      <c r="G108" s="230" t="s">
        <v>261</v>
      </c>
    </row>
    <row r="109" spans="1:11" ht="21" customHeight="1" x14ac:dyDescent="0.25">
      <c r="A109" s="22">
        <v>18</v>
      </c>
      <c r="B109" s="1" t="s">
        <v>92</v>
      </c>
      <c r="C109" s="2" t="s">
        <v>47</v>
      </c>
      <c r="D109" s="37">
        <v>140000</v>
      </c>
      <c r="E109" s="37">
        <v>290000</v>
      </c>
      <c r="F109" s="24">
        <v>0</v>
      </c>
      <c r="G109" s="230" t="s">
        <v>281</v>
      </c>
    </row>
    <row r="110" spans="1:11" ht="17.25" customHeight="1" x14ac:dyDescent="0.25">
      <c r="A110" s="22">
        <v>19</v>
      </c>
      <c r="B110" s="1" t="s">
        <v>229</v>
      </c>
      <c r="C110" s="2" t="s">
        <v>47</v>
      </c>
      <c r="D110" s="24">
        <v>100159</v>
      </c>
      <c r="E110" s="24">
        <v>77395</v>
      </c>
      <c r="F110" s="24">
        <v>0</v>
      </c>
      <c r="G110" s="80" t="s">
        <v>262</v>
      </c>
    </row>
    <row r="111" spans="1:11" ht="15.75" customHeight="1" x14ac:dyDescent="0.25">
      <c r="A111" s="22">
        <v>20</v>
      </c>
      <c r="B111" s="3" t="s">
        <v>158</v>
      </c>
      <c r="C111" s="4" t="s">
        <v>159</v>
      </c>
      <c r="D111" s="27">
        <v>205146</v>
      </c>
      <c r="E111" s="24"/>
      <c r="F111" s="24">
        <v>0</v>
      </c>
      <c r="G111" s="183" t="s">
        <v>258</v>
      </c>
    </row>
    <row r="112" spans="1:11" ht="15.75" customHeight="1" x14ac:dyDescent="0.25">
      <c r="A112" s="22">
        <v>21</v>
      </c>
      <c r="B112" s="3" t="s">
        <v>177</v>
      </c>
      <c r="C112" s="4" t="s">
        <v>178</v>
      </c>
      <c r="D112" s="27">
        <v>120000</v>
      </c>
      <c r="E112" s="24">
        <v>220050</v>
      </c>
      <c r="F112" s="24">
        <v>0</v>
      </c>
      <c r="G112" s="230" t="s">
        <v>261</v>
      </c>
    </row>
    <row r="113" spans="1:7" ht="18" customHeight="1" x14ac:dyDescent="0.25">
      <c r="A113" s="22">
        <v>22</v>
      </c>
      <c r="B113" s="1" t="s">
        <v>76</v>
      </c>
      <c r="C113" s="21" t="s">
        <v>205</v>
      </c>
      <c r="D113" s="24">
        <v>105014</v>
      </c>
      <c r="E113" s="24">
        <v>176944</v>
      </c>
      <c r="F113" s="24">
        <v>0</v>
      </c>
      <c r="G113" s="230" t="s">
        <v>271</v>
      </c>
    </row>
    <row r="114" spans="1:7" ht="17.25" customHeight="1" x14ac:dyDescent="0.25">
      <c r="A114" s="22">
        <v>23</v>
      </c>
      <c r="B114" s="1" t="s">
        <v>204</v>
      </c>
      <c r="C114" s="21" t="s">
        <v>46</v>
      </c>
      <c r="D114" s="24">
        <v>150075</v>
      </c>
      <c r="E114" s="24">
        <v>250076</v>
      </c>
      <c r="F114" s="24">
        <v>0</v>
      </c>
      <c r="G114" s="230" t="s">
        <v>261</v>
      </c>
    </row>
    <row r="115" spans="1:7" ht="17.25" customHeight="1" x14ac:dyDescent="0.25">
      <c r="A115" s="22">
        <v>25</v>
      </c>
      <c r="B115" s="1" t="s">
        <v>231</v>
      </c>
      <c r="C115" s="21" t="s">
        <v>232</v>
      </c>
      <c r="D115" s="24">
        <v>100485</v>
      </c>
      <c r="E115" s="24">
        <v>100485</v>
      </c>
      <c r="F115" s="24">
        <f t="shared" ref="F115" si="10">D115-E115</f>
        <v>0</v>
      </c>
      <c r="G115" s="214"/>
    </row>
    <row r="116" spans="1:7" x14ac:dyDescent="0.25">
      <c r="A116" s="232" t="s">
        <v>47</v>
      </c>
      <c r="B116" s="87" t="s">
        <v>47</v>
      </c>
      <c r="C116" s="87" t="s">
        <v>47</v>
      </c>
      <c r="D116" s="65">
        <f>SUM(D93:D115)</f>
        <v>2920192</v>
      </c>
      <c r="E116" s="65">
        <f>SUM(E93:E115)</f>
        <v>4290770</v>
      </c>
      <c r="F116" s="65">
        <f>SUM(F93:F115)</f>
        <v>0</v>
      </c>
    </row>
    <row r="117" spans="1:7" ht="17.25" customHeight="1" thickBot="1" x14ac:dyDescent="0.3">
      <c r="A117" s="233"/>
      <c r="B117" s="234" t="s">
        <v>48</v>
      </c>
      <c r="C117" s="235"/>
      <c r="D117" s="85">
        <f>D116+D91+D81+D64+D16+D7+D74+D34+D24</f>
        <v>12518029</v>
      </c>
      <c r="E117" s="85">
        <f>E116+E91+E81+E74+E64+E16+E7+E34+E24</f>
        <v>13535189</v>
      </c>
      <c r="F117" s="86">
        <f>F116+F91+F81+F74+F64+F24+F16+F7+F34</f>
        <v>1055657</v>
      </c>
    </row>
    <row r="118" spans="1:7" x14ac:dyDescent="0.25">
      <c r="B118" s="52"/>
      <c r="C118" s="52"/>
      <c r="D118" s="52"/>
      <c r="E118" s="52"/>
      <c r="F118" s="61"/>
    </row>
    <row r="119" spans="1:7" x14ac:dyDescent="0.25">
      <c r="B119" s="52"/>
      <c r="C119" s="236" t="s">
        <v>49</v>
      </c>
      <c r="D119" s="236"/>
      <c r="E119" s="62">
        <f>F117</f>
        <v>1055657</v>
      </c>
      <c r="F119" s="52"/>
    </row>
    <row r="120" spans="1:7" x14ac:dyDescent="0.25">
      <c r="B120" s="52"/>
      <c r="C120" s="52"/>
      <c r="D120" s="52"/>
      <c r="E120" s="63"/>
      <c r="F120" s="63"/>
    </row>
    <row r="121" spans="1:7" x14ac:dyDescent="0.25">
      <c r="B121" s="52"/>
      <c r="C121" s="52"/>
      <c r="D121" s="52"/>
      <c r="E121" s="63"/>
      <c r="F121" s="52"/>
    </row>
    <row r="122" spans="1:7" x14ac:dyDescent="0.25">
      <c r="B122" s="52"/>
      <c r="C122" s="52"/>
      <c r="D122" s="52"/>
      <c r="E122" s="63"/>
      <c r="F122" s="61"/>
    </row>
    <row r="124" spans="1:7" x14ac:dyDescent="0.25">
      <c r="D124" s="52"/>
    </row>
    <row r="125" spans="1:7" x14ac:dyDescent="0.25">
      <c r="D125" s="52"/>
      <c r="E125" s="63"/>
    </row>
    <row r="126" spans="1:7" x14ac:dyDescent="0.25">
      <c r="D126" s="52"/>
      <c r="E126" s="63"/>
    </row>
    <row r="127" spans="1:7" x14ac:dyDescent="0.25">
      <c r="D127" s="52"/>
      <c r="E127" s="63"/>
    </row>
    <row r="128" spans="1:7" x14ac:dyDescent="0.25">
      <c r="D128" s="52"/>
      <c r="E128" s="63"/>
    </row>
  </sheetData>
  <mergeCells count="13">
    <mergeCell ref="A116:A117"/>
    <mergeCell ref="B117:C117"/>
    <mergeCell ref="C119:D119"/>
    <mergeCell ref="A3:F3"/>
    <mergeCell ref="A7:C7"/>
    <mergeCell ref="A8:F8"/>
    <mergeCell ref="A81:C81"/>
    <mergeCell ref="A82:F82"/>
    <mergeCell ref="A92:F92"/>
    <mergeCell ref="A16:C16"/>
    <mergeCell ref="A35:F35"/>
    <mergeCell ref="B17:F17"/>
    <mergeCell ref="A25:F25"/>
  </mergeCells>
  <phoneticPr fontId="28" type="noConversion"/>
  <pageMargins left="0.25" right="0.25" top="0.75" bottom="0.75" header="0.3" footer="0.3"/>
  <pageSetup paperSize="9" scale="3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72"/>
  <sheetViews>
    <sheetView topLeftCell="B1" zoomScale="70" zoomScaleNormal="70" workbookViewId="0">
      <pane ySplit="4" topLeftCell="A5" activePane="bottomLeft" state="frozen"/>
      <selection activeCell="B1" sqref="B1"/>
      <selection pane="bottomLeft" activeCell="AH18" sqref="AH18"/>
    </sheetView>
  </sheetViews>
  <sheetFormatPr defaultRowHeight="15" x14ac:dyDescent="0.25"/>
  <cols>
    <col min="1" max="1" width="9.140625" hidden="1" customWidth="1"/>
    <col min="2" max="2" width="4.7109375" customWidth="1"/>
    <col min="3" max="3" width="24.42578125" customWidth="1"/>
    <col min="4" max="4" width="18.85546875" customWidth="1"/>
    <col min="5" max="5" width="7.42578125" customWidth="1"/>
    <col min="6" max="6" width="7" customWidth="1"/>
    <col min="7" max="7" width="7.5703125" customWidth="1"/>
    <col min="8" max="8" width="7" customWidth="1"/>
    <col min="9" max="9" width="6.5703125" customWidth="1"/>
    <col min="10" max="10" width="7.140625" customWidth="1"/>
    <col min="11" max="11" width="7.85546875" customWidth="1"/>
    <col min="12" max="12" width="7.28515625" customWidth="1"/>
    <col min="13" max="13" width="7.140625" customWidth="1"/>
    <col min="14" max="14" width="7.85546875" customWidth="1"/>
    <col min="15" max="16" width="7.140625" customWidth="1"/>
    <col min="17" max="17" width="7" customWidth="1"/>
    <col min="18" max="18" width="6.7109375" customWidth="1"/>
    <col min="19" max="19" width="7.5703125" customWidth="1"/>
    <col min="20" max="20" width="8.85546875" customWidth="1"/>
    <col min="21" max="22" width="8.7109375" customWidth="1"/>
    <col min="23" max="23" width="9.5703125" customWidth="1"/>
    <col min="24" max="24" width="10.7109375" customWidth="1"/>
    <col min="25" max="25" width="9.85546875" customWidth="1"/>
    <col min="26" max="26" width="17" customWidth="1"/>
    <col min="27" max="27" width="11" customWidth="1"/>
    <col min="28" max="28" width="12.7109375" customWidth="1"/>
    <col min="29" max="29" width="16.5703125" customWidth="1"/>
    <col min="30" max="30" width="15.28515625" customWidth="1"/>
    <col min="31" max="31" width="14.7109375" customWidth="1"/>
    <col min="32" max="32" width="16.140625" customWidth="1"/>
    <col min="33" max="33" width="18.85546875" customWidth="1"/>
    <col min="34" max="34" width="18" customWidth="1"/>
    <col min="35" max="35" width="37" customWidth="1"/>
    <col min="36" max="36" width="23.140625" customWidth="1"/>
    <col min="37" max="37" width="4.140625" customWidth="1"/>
    <col min="38" max="38" width="6.28515625" customWidth="1"/>
    <col min="40" max="40" width="21.5703125" customWidth="1"/>
  </cols>
  <sheetData>
    <row r="1" spans="2:55" s="106" customFormat="1" x14ac:dyDescent="0.25">
      <c r="B1" s="259" t="s">
        <v>251</v>
      </c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</row>
    <row r="2" spans="2:55" s="106" customFormat="1" ht="28.5" customHeight="1" x14ac:dyDescent="0.25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F2" s="107" t="s">
        <v>75</v>
      </c>
    </row>
    <row r="3" spans="2:55" s="106" customFormat="1" ht="41.25" customHeight="1" x14ac:dyDescent="0.25">
      <c r="B3" s="264" t="s">
        <v>0</v>
      </c>
      <c r="C3" s="266" t="s">
        <v>1</v>
      </c>
      <c r="D3" s="266" t="s">
        <v>2</v>
      </c>
      <c r="E3" s="268" t="s">
        <v>143</v>
      </c>
      <c r="F3" s="260" t="s">
        <v>72</v>
      </c>
      <c r="G3" s="261"/>
      <c r="H3" s="262" t="s">
        <v>69</v>
      </c>
      <c r="I3" s="263"/>
      <c r="J3" s="282" t="s">
        <v>219</v>
      </c>
      <c r="K3" s="276" t="s">
        <v>95</v>
      </c>
      <c r="L3" s="270" t="s">
        <v>138</v>
      </c>
      <c r="M3" s="270" t="s">
        <v>163</v>
      </c>
      <c r="N3" s="270" t="s">
        <v>120</v>
      </c>
      <c r="O3" s="280" t="s">
        <v>141</v>
      </c>
      <c r="P3" s="272" t="s">
        <v>242</v>
      </c>
      <c r="Q3" s="286" t="s">
        <v>112</v>
      </c>
      <c r="R3" s="284" t="s">
        <v>97</v>
      </c>
      <c r="S3" s="274" t="s">
        <v>139</v>
      </c>
      <c r="T3" s="278" t="s">
        <v>176</v>
      </c>
      <c r="U3" s="290" t="s">
        <v>203</v>
      </c>
      <c r="V3" s="294" t="s">
        <v>256</v>
      </c>
      <c r="W3" s="292" t="s">
        <v>202</v>
      </c>
      <c r="X3" s="264" t="s">
        <v>62</v>
      </c>
      <c r="Y3" s="264" t="s">
        <v>63</v>
      </c>
      <c r="Z3" s="266" t="s">
        <v>64</v>
      </c>
      <c r="AA3" s="296" t="s">
        <v>65</v>
      </c>
      <c r="AB3" s="298" t="s">
        <v>66</v>
      </c>
      <c r="AC3" s="298" t="s">
        <v>67</v>
      </c>
      <c r="AD3" s="300" t="s">
        <v>70</v>
      </c>
      <c r="AE3" s="302" t="s">
        <v>134</v>
      </c>
      <c r="AF3" s="288" t="s">
        <v>90</v>
      </c>
      <c r="AG3" s="296" t="s">
        <v>68</v>
      </c>
      <c r="AH3" s="188"/>
      <c r="AI3" s="144"/>
    </row>
    <row r="4" spans="2:55" s="106" customFormat="1" ht="100.5" customHeight="1" x14ac:dyDescent="0.25">
      <c r="B4" s="265"/>
      <c r="C4" s="267"/>
      <c r="D4" s="267"/>
      <c r="E4" s="269"/>
      <c r="F4" s="108" t="s">
        <v>144</v>
      </c>
      <c r="G4" s="109" t="s">
        <v>147</v>
      </c>
      <c r="H4" s="110" t="s">
        <v>73</v>
      </c>
      <c r="I4" s="111" t="s">
        <v>117</v>
      </c>
      <c r="J4" s="283"/>
      <c r="K4" s="277"/>
      <c r="L4" s="271"/>
      <c r="M4" s="271"/>
      <c r="N4" s="271"/>
      <c r="O4" s="281"/>
      <c r="P4" s="273"/>
      <c r="Q4" s="287"/>
      <c r="R4" s="285"/>
      <c r="S4" s="275"/>
      <c r="T4" s="279"/>
      <c r="U4" s="291"/>
      <c r="V4" s="295"/>
      <c r="W4" s="293"/>
      <c r="X4" s="265"/>
      <c r="Y4" s="265"/>
      <c r="Z4" s="267"/>
      <c r="AA4" s="297"/>
      <c r="AB4" s="299"/>
      <c r="AC4" s="299"/>
      <c r="AD4" s="301"/>
      <c r="AE4" s="303"/>
      <c r="AF4" s="289"/>
      <c r="AG4" s="297"/>
      <c r="AH4" s="188"/>
      <c r="AI4" s="144"/>
    </row>
    <row r="5" spans="2:55" s="106" customFormat="1" ht="21" customHeight="1" x14ac:dyDescent="0.25">
      <c r="B5" s="112">
        <v>1</v>
      </c>
      <c r="C5" s="113" t="s">
        <v>4</v>
      </c>
      <c r="D5" s="114" t="s">
        <v>54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6"/>
      <c r="Z5" s="117">
        <v>176000</v>
      </c>
      <c r="AA5" s="98"/>
      <c r="AB5" s="98"/>
      <c r="AC5" s="98">
        <f t="shared" ref="AC5:AC42" si="0">AB5*AA5</f>
        <v>0</v>
      </c>
      <c r="AD5" s="98"/>
      <c r="AE5" s="98"/>
      <c r="AF5" s="98"/>
      <c r="AG5" s="98">
        <f>Z5</f>
        <v>176000</v>
      </c>
      <c r="AH5" s="189"/>
    </row>
    <row r="6" spans="2:55" s="106" customFormat="1" ht="21.75" customHeight="1" x14ac:dyDescent="0.3">
      <c r="B6" s="112">
        <v>2</v>
      </c>
      <c r="C6" s="113" t="s">
        <v>5</v>
      </c>
      <c r="D6" s="114" t="s">
        <v>150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6"/>
      <c r="Z6" s="117">
        <v>180264</v>
      </c>
      <c r="AA6" s="98"/>
      <c r="AB6" s="98"/>
      <c r="AC6" s="98"/>
      <c r="AD6" s="98"/>
      <c r="AE6" s="98"/>
      <c r="AF6" s="98"/>
      <c r="AG6" s="98">
        <f>Z6+AC6+AD6+AE6-AF6</f>
        <v>180264</v>
      </c>
      <c r="AH6" s="189"/>
      <c r="AI6" s="145"/>
    </row>
    <row r="7" spans="2:55" s="148" customFormat="1" ht="21.75" customHeight="1" x14ac:dyDescent="0.3">
      <c r="B7" s="112">
        <v>3</v>
      </c>
      <c r="C7" s="113" t="s">
        <v>82</v>
      </c>
      <c r="D7" s="114" t="s">
        <v>55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6"/>
      <c r="Z7" s="117">
        <v>140000</v>
      </c>
      <c r="AA7" s="118"/>
      <c r="AB7" s="98"/>
      <c r="AC7" s="98">
        <f t="shared" si="0"/>
        <v>0</v>
      </c>
      <c r="AD7" s="98"/>
      <c r="AE7" s="98"/>
      <c r="AF7" s="98"/>
      <c r="AG7" s="98">
        <f t="shared" ref="AG7:AG15" si="1">Z7+AC7+AD7+AE7-AF7</f>
        <v>140000</v>
      </c>
      <c r="AH7" s="189"/>
      <c r="AI7" s="146"/>
      <c r="AJ7" s="146"/>
      <c r="AK7" s="146"/>
      <c r="AL7" s="146"/>
      <c r="AM7" s="147" t="s">
        <v>100</v>
      </c>
      <c r="AN7" s="146"/>
      <c r="AO7" s="146"/>
      <c r="AP7" s="146"/>
      <c r="AQ7" s="146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</row>
    <row r="8" spans="2:55" s="148" customFormat="1" ht="21.75" customHeight="1" x14ac:dyDescent="0.3">
      <c r="B8" s="112">
        <v>4</v>
      </c>
      <c r="C8" s="113" t="s">
        <v>168</v>
      </c>
      <c r="D8" s="114" t="s">
        <v>55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  <c r="Z8" s="117">
        <v>120000</v>
      </c>
      <c r="AA8" s="118"/>
      <c r="AB8" s="98"/>
      <c r="AC8" s="98"/>
      <c r="AD8" s="98"/>
      <c r="AE8" s="98"/>
      <c r="AF8" s="98"/>
      <c r="AG8" s="98">
        <f t="shared" si="1"/>
        <v>120000</v>
      </c>
      <c r="AH8" s="189"/>
      <c r="AI8" s="146"/>
      <c r="AJ8" s="146"/>
      <c r="AK8" s="146"/>
      <c r="AL8" s="146"/>
      <c r="AM8" s="147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</row>
    <row r="9" spans="2:55" s="148" customFormat="1" ht="23.25" customHeight="1" x14ac:dyDescent="0.3">
      <c r="B9" s="112">
        <v>5</v>
      </c>
      <c r="C9" s="113" t="s">
        <v>118</v>
      </c>
      <c r="D9" s="114" t="s">
        <v>91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6"/>
      <c r="Z9" s="117">
        <v>130000</v>
      </c>
      <c r="AA9" s="118"/>
      <c r="AB9" s="98"/>
      <c r="AC9" s="98">
        <f t="shared" si="0"/>
        <v>0</v>
      </c>
      <c r="AD9" s="98"/>
      <c r="AE9" s="98"/>
      <c r="AF9" s="98"/>
      <c r="AG9" s="98">
        <f t="shared" si="1"/>
        <v>130000</v>
      </c>
      <c r="AH9" s="189"/>
      <c r="AI9" s="149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</row>
    <row r="10" spans="2:55" s="148" customFormat="1" ht="23.25" customHeight="1" x14ac:dyDescent="0.3">
      <c r="B10" s="112">
        <v>6</v>
      </c>
      <c r="C10" s="113" t="s">
        <v>119</v>
      </c>
      <c r="D10" s="114" t="s">
        <v>96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6"/>
      <c r="Z10" s="117">
        <v>100000</v>
      </c>
      <c r="AA10" s="118"/>
      <c r="AB10" s="98"/>
      <c r="AC10" s="98"/>
      <c r="AD10" s="98"/>
      <c r="AE10" s="98"/>
      <c r="AF10" s="98"/>
      <c r="AG10" s="98">
        <f t="shared" si="1"/>
        <v>100000</v>
      </c>
      <c r="AH10" s="189"/>
      <c r="AI10" s="150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</row>
    <row r="11" spans="2:55" s="148" customFormat="1" ht="21" customHeight="1" x14ac:dyDescent="0.35">
      <c r="B11" s="112">
        <v>7</v>
      </c>
      <c r="C11" s="113" t="s">
        <v>98</v>
      </c>
      <c r="D11" s="114" t="s">
        <v>99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6"/>
      <c r="Z11" s="117">
        <v>100224</v>
      </c>
      <c r="AA11" s="118"/>
      <c r="AB11" s="98"/>
      <c r="AC11" s="98"/>
      <c r="AD11" s="98">
        <v>4000</v>
      </c>
      <c r="AE11" s="98"/>
      <c r="AF11" s="98"/>
      <c r="AG11" s="98">
        <f t="shared" si="1"/>
        <v>104224</v>
      </c>
      <c r="AH11" s="219" t="s">
        <v>248</v>
      </c>
      <c r="AI11" s="257" t="s">
        <v>236</v>
      </c>
      <c r="AJ11" s="258"/>
      <c r="AK11" s="106"/>
      <c r="AL11" s="106"/>
      <c r="AM11" s="106"/>
      <c r="AN11" s="106"/>
      <c r="AO11" s="10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</row>
    <row r="12" spans="2:55" s="106" customFormat="1" ht="21" customHeight="1" x14ac:dyDescent="0.35">
      <c r="B12" s="112">
        <v>1</v>
      </c>
      <c r="C12" s="119" t="s">
        <v>241</v>
      </c>
      <c r="D12" s="120" t="s">
        <v>56</v>
      </c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2">
        <f>SUM(E12:W12)</f>
        <v>0</v>
      </c>
      <c r="Y12" s="215">
        <v>550</v>
      </c>
      <c r="Z12" s="124">
        <f>X12*Y12</f>
        <v>0</v>
      </c>
      <c r="AA12" s="101"/>
      <c r="AB12" s="99"/>
      <c r="AC12" s="98">
        <f t="shared" si="0"/>
        <v>0</v>
      </c>
      <c r="AD12" s="125"/>
      <c r="AE12" s="99"/>
      <c r="AF12" s="99"/>
      <c r="AG12" s="98">
        <f t="shared" si="1"/>
        <v>0</v>
      </c>
      <c r="AH12" s="189"/>
      <c r="AI12" s="151"/>
      <c r="AJ12" s="152"/>
      <c r="AK12" s="152"/>
    </row>
    <row r="13" spans="2:55" s="106" customFormat="1" ht="22.5" customHeight="1" x14ac:dyDescent="0.35">
      <c r="B13" s="112">
        <v>2</v>
      </c>
      <c r="C13" s="119" t="s">
        <v>6</v>
      </c>
      <c r="D13" s="120" t="s">
        <v>116</v>
      </c>
      <c r="E13" s="121"/>
      <c r="F13" s="121"/>
      <c r="G13" s="121">
        <v>177</v>
      </c>
      <c r="H13" s="121"/>
      <c r="I13" s="121"/>
      <c r="J13" s="121"/>
      <c r="K13" s="121"/>
      <c r="L13" s="121"/>
      <c r="M13" s="121"/>
      <c r="N13" s="121"/>
      <c r="O13" s="121"/>
      <c r="P13" s="121">
        <v>12</v>
      </c>
      <c r="Q13" s="121"/>
      <c r="R13" s="121"/>
      <c r="S13" s="121"/>
      <c r="T13" s="121"/>
      <c r="U13" s="121">
        <v>1</v>
      </c>
      <c r="V13" s="121"/>
      <c r="W13" s="121"/>
      <c r="X13" s="122">
        <f t="shared" ref="X13:X43" si="2">SUM(E13:W13)</f>
        <v>190</v>
      </c>
      <c r="Y13" s="123">
        <v>760</v>
      </c>
      <c r="Z13" s="124">
        <f t="shared" ref="Z13:Z42" si="3">X13*Y13</f>
        <v>144400</v>
      </c>
      <c r="AA13" s="101"/>
      <c r="AB13" s="99"/>
      <c r="AC13" s="98">
        <f t="shared" si="0"/>
        <v>0</v>
      </c>
      <c r="AD13" s="100">
        <v>10000</v>
      </c>
      <c r="AE13" s="105">
        <v>3940</v>
      </c>
      <c r="AF13" s="99"/>
      <c r="AG13" s="98">
        <f>Z13+AC13+AD13+AE13-AF13</f>
        <v>158340</v>
      </c>
      <c r="AH13" s="213"/>
      <c r="AI13" s="153"/>
      <c r="AJ13" s="154"/>
      <c r="AK13" s="155"/>
    </row>
    <row r="14" spans="2:55" s="106" customFormat="1" ht="21.75" customHeight="1" x14ac:dyDescent="0.35">
      <c r="B14" s="112">
        <v>3</v>
      </c>
      <c r="C14" s="119" t="s">
        <v>57</v>
      </c>
      <c r="D14" s="226" t="s">
        <v>244</v>
      </c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>
        <f>60+71</f>
        <v>131</v>
      </c>
      <c r="V14" s="121"/>
      <c r="W14" s="121"/>
      <c r="X14" s="122">
        <v>211</v>
      </c>
      <c r="Y14" s="123">
        <v>720</v>
      </c>
      <c r="Z14" s="124">
        <f t="shared" si="3"/>
        <v>151920</v>
      </c>
      <c r="AA14" s="101"/>
      <c r="AB14" s="99"/>
      <c r="AC14" s="98">
        <f t="shared" si="0"/>
        <v>0</v>
      </c>
      <c r="AD14" s="100">
        <f>8400+10000</f>
        <v>18400</v>
      </c>
      <c r="AE14" s="105">
        <v>1970</v>
      </c>
      <c r="AF14" s="99"/>
      <c r="AG14" s="98">
        <f t="shared" si="1"/>
        <v>172290</v>
      </c>
      <c r="AH14" s="189"/>
      <c r="AI14" s="153"/>
      <c r="AJ14" s="155"/>
      <c r="AK14" s="155"/>
    </row>
    <row r="15" spans="2:55" s="106" customFormat="1" ht="26.25" customHeight="1" x14ac:dyDescent="0.35">
      <c r="B15" s="112">
        <v>4</v>
      </c>
      <c r="C15" s="119" t="s">
        <v>7</v>
      </c>
      <c r="D15" s="120" t="s">
        <v>85</v>
      </c>
      <c r="E15" s="121"/>
      <c r="F15" s="121"/>
      <c r="G15" s="121">
        <v>16</v>
      </c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>
        <v>60</v>
      </c>
      <c r="V15" s="121"/>
      <c r="W15" s="121"/>
      <c r="X15" s="122">
        <f t="shared" si="2"/>
        <v>76</v>
      </c>
      <c r="Y15" s="123">
        <v>630</v>
      </c>
      <c r="Z15" s="124">
        <f t="shared" si="3"/>
        <v>47880</v>
      </c>
      <c r="AA15" s="126">
        <v>1</v>
      </c>
      <c r="AB15" s="100">
        <v>2000</v>
      </c>
      <c r="AC15" s="98">
        <f t="shared" si="0"/>
        <v>2000</v>
      </c>
      <c r="AD15" s="100"/>
      <c r="AE15" s="100"/>
      <c r="AF15" s="100"/>
      <c r="AG15" s="98">
        <f t="shared" si="1"/>
        <v>49880</v>
      </c>
      <c r="AH15" s="189"/>
      <c r="AI15" s="153"/>
      <c r="AJ15" s="155"/>
      <c r="AK15" s="155"/>
    </row>
    <row r="16" spans="2:55" s="106" customFormat="1" ht="21" customHeight="1" x14ac:dyDescent="0.25">
      <c r="B16" s="112">
        <v>5</v>
      </c>
      <c r="C16" s="113" t="s">
        <v>98</v>
      </c>
      <c r="D16" s="114" t="s">
        <v>136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27">
        <v>135000</v>
      </c>
      <c r="AA16" s="118"/>
      <c r="AB16" s="127"/>
      <c r="AC16" s="98"/>
      <c r="AD16" s="127"/>
      <c r="AE16" s="127"/>
      <c r="AF16" s="127"/>
      <c r="AG16" s="128">
        <f t="shared" ref="AG16" si="4">Z16+AC16+AD16+AE16-AF16</f>
        <v>135000</v>
      </c>
      <c r="AH16" s="156" t="s">
        <v>182</v>
      </c>
      <c r="AI16" s="156"/>
      <c r="AJ16" s="155"/>
      <c r="AK16" s="155"/>
    </row>
    <row r="17" spans="2:39" s="106" customFormat="1" ht="23.25" x14ac:dyDescent="0.3">
      <c r="B17" s="112">
        <v>6</v>
      </c>
      <c r="C17" s="119" t="s">
        <v>8</v>
      </c>
      <c r="D17" s="120" t="s">
        <v>109</v>
      </c>
      <c r="E17" s="121"/>
      <c r="F17" s="121"/>
      <c r="G17" s="121">
        <v>165</v>
      </c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>
        <v>95</v>
      </c>
      <c r="V17" s="121"/>
      <c r="W17" s="121"/>
      <c r="X17" s="122">
        <f t="shared" si="2"/>
        <v>260</v>
      </c>
      <c r="Y17" s="123">
        <v>590</v>
      </c>
      <c r="Z17" s="124">
        <f t="shared" si="3"/>
        <v>153400</v>
      </c>
      <c r="AA17" s="101">
        <v>1</v>
      </c>
      <c r="AB17" s="99">
        <v>2000</v>
      </c>
      <c r="AC17" s="98">
        <f>AB17*AA17</f>
        <v>2000</v>
      </c>
      <c r="AD17" s="100">
        <v>10000</v>
      </c>
      <c r="AE17" s="105">
        <v>3940</v>
      </c>
      <c r="AF17" s="105">
        <f>16666.67+8333.33</f>
        <v>25000</v>
      </c>
      <c r="AG17" s="98">
        <f>Z17+AC17+AD17+AE17-AF17</f>
        <v>144340</v>
      </c>
      <c r="AH17" s="156" t="s">
        <v>280</v>
      </c>
      <c r="AI17" s="157" t="s">
        <v>199</v>
      </c>
      <c r="AJ17" s="158" t="s">
        <v>172</v>
      </c>
      <c r="AM17" s="159"/>
    </row>
    <row r="18" spans="2:39" s="106" customFormat="1" ht="24" customHeight="1" x14ac:dyDescent="0.35">
      <c r="B18" s="112">
        <v>7</v>
      </c>
      <c r="C18" s="119" t="s">
        <v>79</v>
      </c>
      <c r="D18" s="120" t="s">
        <v>245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>
        <v>53</v>
      </c>
      <c r="Q18" s="121"/>
      <c r="R18" s="121"/>
      <c r="S18" s="121"/>
      <c r="T18" s="121"/>
      <c r="U18" s="121">
        <v>195</v>
      </c>
      <c r="V18" s="121"/>
      <c r="W18" s="121"/>
      <c r="X18" s="122">
        <f t="shared" si="2"/>
        <v>248</v>
      </c>
      <c r="Y18" s="123">
        <v>720</v>
      </c>
      <c r="Z18" s="124">
        <f t="shared" si="3"/>
        <v>178560</v>
      </c>
      <c r="AA18" s="101"/>
      <c r="AB18" s="99"/>
      <c r="AC18" s="98">
        <f t="shared" si="0"/>
        <v>0</v>
      </c>
      <c r="AD18" s="100">
        <v>10000</v>
      </c>
      <c r="AE18" s="105">
        <v>3940</v>
      </c>
      <c r="AF18" s="99"/>
      <c r="AG18" s="98">
        <f t="shared" ref="AG18:AG19" si="5">Z18+AC18+AD18+AE18-AF18</f>
        <v>192500</v>
      </c>
      <c r="AH18" s="189"/>
      <c r="AI18" s="160"/>
      <c r="AK18" s="155"/>
    </row>
    <row r="19" spans="2:39" s="106" customFormat="1" ht="24.75" customHeight="1" x14ac:dyDescent="0.35">
      <c r="B19" s="112">
        <v>8</v>
      </c>
      <c r="C19" s="119" t="s">
        <v>80</v>
      </c>
      <c r="D19" s="120" t="s">
        <v>157</v>
      </c>
      <c r="E19" s="121"/>
      <c r="F19" s="121"/>
      <c r="G19" s="121">
        <v>80</v>
      </c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>
        <v>90</v>
      </c>
      <c r="V19" s="121"/>
      <c r="W19" s="121"/>
      <c r="X19" s="122">
        <f t="shared" si="2"/>
        <v>170</v>
      </c>
      <c r="Y19" s="123">
        <v>690</v>
      </c>
      <c r="Z19" s="124">
        <f t="shared" si="3"/>
        <v>117300</v>
      </c>
      <c r="AA19" s="101"/>
      <c r="AB19" s="99"/>
      <c r="AC19" s="98">
        <f t="shared" si="0"/>
        <v>0</v>
      </c>
      <c r="AD19" s="103"/>
      <c r="AE19" s="99">
        <v>10000</v>
      </c>
      <c r="AF19" s="99"/>
      <c r="AG19" s="98">
        <f t="shared" si="5"/>
        <v>127300</v>
      </c>
      <c r="AH19" s="217"/>
      <c r="AI19" s="161"/>
      <c r="AJ19" s="162" t="s">
        <v>137</v>
      </c>
      <c r="AK19" s="155"/>
      <c r="AM19" s="106" t="s">
        <v>83</v>
      </c>
    </row>
    <row r="20" spans="2:39" s="106" customFormat="1" ht="22.5" customHeight="1" x14ac:dyDescent="0.35">
      <c r="B20" s="112">
        <v>9</v>
      </c>
      <c r="C20" s="119" t="s">
        <v>111</v>
      </c>
      <c r="D20" s="120" t="s">
        <v>115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2">
        <f t="shared" si="2"/>
        <v>0</v>
      </c>
      <c r="Y20" s="123">
        <v>590</v>
      </c>
      <c r="Z20" s="124">
        <f t="shared" si="3"/>
        <v>0</v>
      </c>
      <c r="AA20" s="101"/>
      <c r="AB20" s="99"/>
      <c r="AC20" s="98">
        <f t="shared" si="0"/>
        <v>0</v>
      </c>
      <c r="AD20" s="100"/>
      <c r="AE20" s="99"/>
      <c r="AF20" s="99"/>
      <c r="AG20" s="98">
        <f>Z20+AC20+AD20+AE20-AF20</f>
        <v>0</v>
      </c>
      <c r="AH20" s="189"/>
      <c r="AI20" s="163"/>
      <c r="AJ20" s="161"/>
      <c r="AK20" s="155"/>
    </row>
    <row r="21" spans="2:39" s="106" customFormat="1" ht="22.5" customHeight="1" x14ac:dyDescent="0.35">
      <c r="B21" s="112">
        <v>10</v>
      </c>
      <c r="C21" s="119" t="s">
        <v>181</v>
      </c>
      <c r="D21" s="120" t="s">
        <v>170</v>
      </c>
      <c r="E21" s="121"/>
      <c r="F21" s="121"/>
      <c r="G21" s="121">
        <v>181</v>
      </c>
      <c r="H21" s="121"/>
      <c r="I21" s="121"/>
      <c r="J21" s="121"/>
      <c r="K21" s="121"/>
      <c r="L21" s="121">
        <v>12</v>
      </c>
      <c r="M21" s="121"/>
      <c r="N21" s="121"/>
      <c r="O21" s="121"/>
      <c r="P21" s="121">
        <v>4</v>
      </c>
      <c r="Q21" s="121"/>
      <c r="R21" s="121"/>
      <c r="S21" s="121"/>
      <c r="T21" s="121"/>
      <c r="U21" s="121">
        <v>33</v>
      </c>
      <c r="V21" s="121"/>
      <c r="W21" s="121"/>
      <c r="X21" s="122">
        <f t="shared" si="2"/>
        <v>230</v>
      </c>
      <c r="Y21" s="123">
        <v>740</v>
      </c>
      <c r="Z21" s="124">
        <f t="shared" si="3"/>
        <v>170200</v>
      </c>
      <c r="AA21" s="101"/>
      <c r="AB21" s="99"/>
      <c r="AC21" s="98">
        <f>AB21*AA21</f>
        <v>0</v>
      </c>
      <c r="AD21" s="100">
        <v>10000</v>
      </c>
      <c r="AE21" s="99">
        <v>1000</v>
      </c>
      <c r="AF21" s="99"/>
      <c r="AG21" s="98">
        <f>Z21+AC21+AD21+AE21-AF21</f>
        <v>181200</v>
      </c>
      <c r="AH21" s="213"/>
      <c r="AI21" s="163"/>
      <c r="AJ21" s="161"/>
      <c r="AK21" s="155"/>
    </row>
    <row r="22" spans="2:39" s="106" customFormat="1" ht="22.5" customHeight="1" x14ac:dyDescent="0.35">
      <c r="B22" s="112"/>
      <c r="C22" s="119" t="s">
        <v>192</v>
      </c>
      <c r="D22" s="120" t="s">
        <v>170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2">
        <f t="shared" si="2"/>
        <v>0</v>
      </c>
      <c r="Y22" s="123">
        <v>740</v>
      </c>
      <c r="Z22" s="124">
        <f t="shared" si="3"/>
        <v>0</v>
      </c>
      <c r="AA22" s="101"/>
      <c r="AB22" s="99"/>
      <c r="AC22" s="98"/>
      <c r="AD22" s="100"/>
      <c r="AE22" s="99"/>
      <c r="AF22" s="99"/>
      <c r="AG22" s="98">
        <f>Z22+AC22+AD22+AE22-AF22</f>
        <v>0</v>
      </c>
      <c r="AH22" s="217"/>
      <c r="AI22" s="163"/>
      <c r="AJ22" s="161"/>
      <c r="AK22" s="155"/>
    </row>
    <row r="23" spans="2:39" s="106" customFormat="1" ht="21" customHeight="1" x14ac:dyDescent="0.35">
      <c r="B23" s="112">
        <v>11</v>
      </c>
      <c r="C23" s="119" t="s">
        <v>192</v>
      </c>
      <c r="D23" s="120" t="s">
        <v>191</v>
      </c>
      <c r="E23" s="121"/>
      <c r="F23" s="121"/>
      <c r="G23" s="121">
        <v>19</v>
      </c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>
        <v>35</v>
      </c>
      <c r="S23" s="121"/>
      <c r="T23" s="121"/>
      <c r="U23" s="121">
        <v>14</v>
      </c>
      <c r="V23" s="121"/>
      <c r="W23" s="121"/>
      <c r="X23" s="122">
        <f t="shared" si="2"/>
        <v>68</v>
      </c>
      <c r="Y23" s="123">
        <v>660</v>
      </c>
      <c r="Z23" s="124">
        <f t="shared" si="3"/>
        <v>44880</v>
      </c>
      <c r="AA23" s="101"/>
      <c r="AB23" s="99"/>
      <c r="AC23" s="98">
        <f t="shared" si="0"/>
        <v>0</v>
      </c>
      <c r="AD23" s="100">
        <v>10000</v>
      </c>
      <c r="AE23" s="99">
        <v>500</v>
      </c>
      <c r="AF23" s="99"/>
      <c r="AG23" s="98">
        <f t="shared" ref="AG23:AG24" si="6">Z23+AC23+AD23+AE23-AF23</f>
        <v>55380</v>
      </c>
      <c r="AH23" s="218">
        <f>AG22+AG23</f>
        <v>55380</v>
      </c>
      <c r="AI23" s="164"/>
      <c r="AJ23" s="161"/>
      <c r="AK23" s="155"/>
    </row>
    <row r="24" spans="2:39" s="106" customFormat="1" ht="22.5" customHeight="1" x14ac:dyDescent="0.35">
      <c r="B24" s="112">
        <v>12</v>
      </c>
      <c r="C24" s="119" t="s">
        <v>160</v>
      </c>
      <c r="D24" s="120" t="s">
        <v>122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>
        <v>8</v>
      </c>
      <c r="S24" s="121"/>
      <c r="T24" s="121"/>
      <c r="U24" s="121">
        <v>210</v>
      </c>
      <c r="V24" s="121"/>
      <c r="W24" s="121"/>
      <c r="X24" s="122">
        <f t="shared" si="2"/>
        <v>218</v>
      </c>
      <c r="Y24" s="123">
        <v>720</v>
      </c>
      <c r="Z24" s="124">
        <f t="shared" si="3"/>
        <v>156960</v>
      </c>
      <c r="AA24" s="101"/>
      <c r="AB24" s="99"/>
      <c r="AC24" s="98">
        <f t="shared" si="0"/>
        <v>0</v>
      </c>
      <c r="AD24" s="100">
        <v>10000</v>
      </c>
      <c r="AE24" s="105">
        <v>3940</v>
      </c>
      <c r="AF24" s="99"/>
      <c r="AG24" s="98">
        <f t="shared" si="6"/>
        <v>170900</v>
      </c>
      <c r="AH24" s="189"/>
      <c r="AI24" s="163"/>
      <c r="AJ24" s="161"/>
      <c r="AK24" s="155"/>
    </row>
    <row r="25" spans="2:39" s="106" customFormat="1" ht="26.25" customHeight="1" x14ac:dyDescent="0.35">
      <c r="B25" s="112">
        <v>13</v>
      </c>
      <c r="C25" s="119" t="s">
        <v>161</v>
      </c>
      <c r="D25" s="120" t="s">
        <v>110</v>
      </c>
      <c r="E25" s="121"/>
      <c r="F25" s="121"/>
      <c r="G25" s="121">
        <v>178</v>
      </c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>
        <v>64</v>
      </c>
      <c r="S25" s="121"/>
      <c r="T25" s="121"/>
      <c r="U25" s="121">
        <v>2</v>
      </c>
      <c r="V25" s="121"/>
      <c r="W25" s="121"/>
      <c r="X25" s="122">
        <f t="shared" si="2"/>
        <v>244</v>
      </c>
      <c r="Y25" s="123">
        <v>590</v>
      </c>
      <c r="Z25" s="124">
        <f t="shared" si="3"/>
        <v>143960</v>
      </c>
      <c r="AA25" s="101"/>
      <c r="AB25" s="99"/>
      <c r="AC25" s="98">
        <f t="shared" si="0"/>
        <v>0</v>
      </c>
      <c r="AD25" s="100">
        <v>10000</v>
      </c>
      <c r="AE25" s="99"/>
      <c r="AF25" s="99"/>
      <c r="AG25" s="98">
        <f>Z25+AC25+AD25+AE25-AF25</f>
        <v>153960</v>
      </c>
      <c r="AH25" s="213"/>
      <c r="AI25" s="165"/>
      <c r="AJ25" s="161"/>
      <c r="AK25" s="155"/>
    </row>
    <row r="26" spans="2:39" s="106" customFormat="1" ht="24" customHeight="1" x14ac:dyDescent="0.35">
      <c r="B26" s="112">
        <v>14</v>
      </c>
      <c r="C26" s="119" t="s">
        <v>126</v>
      </c>
      <c r="D26" s="120" t="s">
        <v>71</v>
      </c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>
        <v>210</v>
      </c>
      <c r="Q26" s="121"/>
      <c r="R26" s="121"/>
      <c r="S26" s="121"/>
      <c r="T26" s="121"/>
      <c r="U26" s="121"/>
      <c r="V26" s="121"/>
      <c r="W26" s="121"/>
      <c r="X26" s="122">
        <f t="shared" si="2"/>
        <v>210</v>
      </c>
      <c r="Y26" s="123">
        <v>720</v>
      </c>
      <c r="Z26" s="124">
        <f t="shared" si="3"/>
        <v>151200</v>
      </c>
      <c r="AA26" s="101"/>
      <c r="AB26" s="99"/>
      <c r="AC26" s="98">
        <f t="shared" si="0"/>
        <v>0</v>
      </c>
      <c r="AD26" s="100">
        <v>11970</v>
      </c>
      <c r="AE26" s="105">
        <v>1970</v>
      </c>
      <c r="AF26" s="99"/>
      <c r="AG26" s="98">
        <f t="shared" ref="AG26:AG27" si="7">Z26+AC26+AD26+AE26-AF26</f>
        <v>165140</v>
      </c>
      <c r="AH26" s="189"/>
      <c r="AI26" s="163"/>
      <c r="AJ26" s="161"/>
      <c r="AK26" s="155"/>
    </row>
    <row r="27" spans="2:39" s="106" customFormat="1" ht="24" customHeight="1" x14ac:dyDescent="0.35">
      <c r="B27" s="112">
        <v>15</v>
      </c>
      <c r="C27" s="119" t="s">
        <v>162</v>
      </c>
      <c r="D27" s="120" t="s">
        <v>149</v>
      </c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>
        <v>150</v>
      </c>
      <c r="V27" s="121"/>
      <c r="W27" s="121"/>
      <c r="X27" s="122">
        <f t="shared" si="2"/>
        <v>150</v>
      </c>
      <c r="Y27" s="123">
        <v>750</v>
      </c>
      <c r="Z27" s="124">
        <f t="shared" si="3"/>
        <v>112500</v>
      </c>
      <c r="AA27" s="101"/>
      <c r="AB27" s="99"/>
      <c r="AC27" s="98">
        <f t="shared" si="0"/>
        <v>0</v>
      </c>
      <c r="AD27" s="100">
        <v>10000</v>
      </c>
      <c r="AE27" s="99"/>
      <c r="AF27" s="99"/>
      <c r="AG27" s="98">
        <f t="shared" si="7"/>
        <v>122500</v>
      </c>
      <c r="AH27" s="208"/>
      <c r="AI27" s="163"/>
      <c r="AJ27" s="161"/>
      <c r="AK27" s="155"/>
    </row>
    <row r="28" spans="2:39" s="106" customFormat="1" ht="24.75" customHeight="1" x14ac:dyDescent="0.35">
      <c r="B28" s="112">
        <v>17</v>
      </c>
      <c r="C28" s="119" t="s">
        <v>135</v>
      </c>
      <c r="D28" s="120" t="s">
        <v>243</v>
      </c>
      <c r="E28" s="121"/>
      <c r="F28" s="121"/>
      <c r="G28" s="121">
        <v>140</v>
      </c>
      <c r="H28" s="121">
        <v>32</v>
      </c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>
        <v>60</v>
      </c>
      <c r="V28" s="121">
        <v>20</v>
      </c>
      <c r="W28" s="121"/>
      <c r="X28" s="122">
        <f t="shared" si="2"/>
        <v>252</v>
      </c>
      <c r="Y28" s="123">
        <v>590</v>
      </c>
      <c r="Z28" s="124">
        <f t="shared" si="3"/>
        <v>148680</v>
      </c>
      <c r="AA28" s="101">
        <v>2</v>
      </c>
      <c r="AB28" s="99">
        <v>2000</v>
      </c>
      <c r="AC28" s="98">
        <f t="shared" si="0"/>
        <v>4000</v>
      </c>
      <c r="AD28" s="100">
        <v>10000</v>
      </c>
      <c r="AE28" s="99"/>
      <c r="AF28" s="99"/>
      <c r="AG28" s="98">
        <f>Z28+AC28+AD28+AE28-AF28</f>
        <v>162680</v>
      </c>
      <c r="AH28" s="212"/>
      <c r="AI28" s="163"/>
      <c r="AJ28" s="161"/>
      <c r="AK28" s="155"/>
    </row>
    <row r="29" spans="2:39" s="106" customFormat="1" ht="21" customHeight="1" x14ac:dyDescent="0.35">
      <c r="B29" s="112">
        <v>18</v>
      </c>
      <c r="C29" s="119" t="s">
        <v>145</v>
      </c>
      <c r="D29" s="120" t="s">
        <v>149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>
        <v>150</v>
      </c>
      <c r="V29" s="121"/>
      <c r="W29" s="121"/>
      <c r="X29" s="122">
        <f t="shared" si="2"/>
        <v>150</v>
      </c>
      <c r="Y29" s="123">
        <v>750</v>
      </c>
      <c r="Z29" s="124">
        <f t="shared" si="3"/>
        <v>112500</v>
      </c>
      <c r="AA29" s="101"/>
      <c r="AB29" s="99"/>
      <c r="AC29" s="98">
        <f t="shared" si="0"/>
        <v>0</v>
      </c>
      <c r="AD29" s="100">
        <v>10000</v>
      </c>
      <c r="AE29" s="99"/>
      <c r="AF29" s="99"/>
      <c r="AG29" s="98">
        <f t="shared" ref="AG29:AG30" si="8">Z29+AC29+AD29+AE29-AF29</f>
        <v>122500</v>
      </c>
      <c r="AH29" s="217"/>
      <c r="AI29" s="166"/>
      <c r="AJ29" s="161"/>
      <c r="AK29" s="155"/>
    </row>
    <row r="30" spans="2:39" s="106" customFormat="1" ht="23.25" x14ac:dyDescent="0.35">
      <c r="B30" s="112">
        <v>19</v>
      </c>
      <c r="C30" s="119" t="s">
        <v>148</v>
      </c>
      <c r="D30" s="120" t="s">
        <v>171</v>
      </c>
      <c r="E30" s="121"/>
      <c r="F30" s="121"/>
      <c r="G30" s="121">
        <v>8</v>
      </c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>
        <v>142</v>
      </c>
      <c r="V30" s="121"/>
      <c r="W30" s="121"/>
      <c r="X30" s="122">
        <f t="shared" si="2"/>
        <v>150</v>
      </c>
      <c r="Y30" s="123">
        <v>850</v>
      </c>
      <c r="Z30" s="124">
        <f t="shared" si="3"/>
        <v>127500</v>
      </c>
      <c r="AA30" s="101"/>
      <c r="AB30" s="99"/>
      <c r="AC30" s="98">
        <f t="shared" si="0"/>
        <v>0</v>
      </c>
      <c r="AD30" s="100">
        <v>10000</v>
      </c>
      <c r="AE30" s="99"/>
      <c r="AF30" s="99"/>
      <c r="AG30" s="98">
        <f t="shared" si="8"/>
        <v>137500</v>
      </c>
      <c r="AH30" s="217"/>
      <c r="AI30" s="163"/>
      <c r="AJ30" s="161"/>
      <c r="AK30" s="155"/>
    </row>
    <row r="31" spans="2:39" s="106" customFormat="1" ht="21.75" customHeight="1" x14ac:dyDescent="0.35">
      <c r="B31" s="112">
        <v>20</v>
      </c>
      <c r="C31" s="119" t="s">
        <v>216</v>
      </c>
      <c r="D31" s="120" t="s">
        <v>169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>
        <v>8</v>
      </c>
      <c r="S31" s="121"/>
      <c r="T31" s="121"/>
      <c r="U31" s="121">
        <v>241</v>
      </c>
      <c r="V31" s="121"/>
      <c r="W31" s="121"/>
      <c r="X31" s="122">
        <f t="shared" si="2"/>
        <v>249</v>
      </c>
      <c r="Y31" s="123">
        <v>740</v>
      </c>
      <c r="Z31" s="124">
        <f t="shared" si="3"/>
        <v>184260</v>
      </c>
      <c r="AA31" s="101">
        <v>2</v>
      </c>
      <c r="AB31" s="99">
        <v>2000</v>
      </c>
      <c r="AC31" s="98">
        <f t="shared" si="0"/>
        <v>4000</v>
      </c>
      <c r="AD31" s="100">
        <v>10000</v>
      </c>
      <c r="AE31" s="99"/>
      <c r="AF31" s="99"/>
      <c r="AG31" s="98">
        <f>Z31+AC31+AD31+AE31-AF31</f>
        <v>198260</v>
      </c>
      <c r="AH31" s="213"/>
      <c r="AI31" s="163"/>
      <c r="AJ31" s="161"/>
      <c r="AK31" s="155"/>
    </row>
    <row r="32" spans="2:39" s="106" customFormat="1" ht="21.75" customHeight="1" x14ac:dyDescent="0.35">
      <c r="B32" s="112">
        <v>21</v>
      </c>
      <c r="C32" s="119" t="s">
        <v>186</v>
      </c>
      <c r="D32" s="120" t="s">
        <v>84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>
        <v>270</v>
      </c>
      <c r="V32" s="121"/>
      <c r="W32" s="121"/>
      <c r="X32" s="122">
        <f t="shared" si="2"/>
        <v>270</v>
      </c>
      <c r="Y32" s="123">
        <v>610</v>
      </c>
      <c r="Z32" s="124">
        <f t="shared" si="3"/>
        <v>164700</v>
      </c>
      <c r="AA32" s="101">
        <v>1</v>
      </c>
      <c r="AB32" s="99">
        <v>2000</v>
      </c>
      <c r="AC32" s="98">
        <f t="shared" si="0"/>
        <v>2000</v>
      </c>
      <c r="AD32" s="100">
        <v>10000</v>
      </c>
      <c r="AE32" s="99"/>
      <c r="AF32" s="99"/>
      <c r="AG32" s="98">
        <f t="shared" ref="AG32:AG33" si="9">Z32+AC32+AD32+AE32-AF32</f>
        <v>176700</v>
      </c>
      <c r="AH32" s="189"/>
      <c r="AI32" s="163"/>
      <c r="AJ32" s="161"/>
      <c r="AK32" s="155"/>
    </row>
    <row r="33" spans="1:58" s="106" customFormat="1" ht="21.75" customHeight="1" x14ac:dyDescent="0.35">
      <c r="B33" s="112">
        <v>22</v>
      </c>
      <c r="C33" s="119" t="s">
        <v>220</v>
      </c>
      <c r="D33" s="120" t="s">
        <v>221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>
        <v>234</v>
      </c>
      <c r="V33" s="121"/>
      <c r="W33" s="121"/>
      <c r="X33" s="122">
        <f t="shared" si="2"/>
        <v>234</v>
      </c>
      <c r="Y33" s="123"/>
      <c r="Z33" s="124">
        <v>115000</v>
      </c>
      <c r="AA33" s="101"/>
      <c r="AB33" s="99"/>
      <c r="AC33" s="98">
        <f t="shared" si="0"/>
        <v>0</v>
      </c>
      <c r="AD33" s="100">
        <v>5000</v>
      </c>
      <c r="AE33" s="99">
        <v>3940</v>
      </c>
      <c r="AF33" s="99"/>
      <c r="AG33" s="98">
        <f t="shared" si="9"/>
        <v>123940</v>
      </c>
      <c r="AH33" s="189"/>
      <c r="AI33" s="163"/>
      <c r="AJ33" s="161"/>
      <c r="AK33" s="155"/>
    </row>
    <row r="34" spans="1:58" s="106" customFormat="1" ht="24" customHeight="1" x14ac:dyDescent="0.35">
      <c r="A34" s="167"/>
      <c r="B34" s="112">
        <v>23</v>
      </c>
      <c r="C34" s="129" t="s">
        <v>114</v>
      </c>
      <c r="D34" s="130" t="s">
        <v>225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22">
        <f t="shared" si="2"/>
        <v>0</v>
      </c>
      <c r="Y34" s="123">
        <v>590</v>
      </c>
      <c r="Z34" s="124">
        <f t="shared" si="3"/>
        <v>0</v>
      </c>
      <c r="AA34" s="132"/>
      <c r="AB34" s="97"/>
      <c r="AC34" s="98">
        <f t="shared" si="0"/>
        <v>0</v>
      </c>
      <c r="AD34" s="97"/>
      <c r="AE34" s="97"/>
      <c r="AF34" s="97"/>
      <c r="AG34" s="98">
        <f>Z34+AC34+AD34+AE34-AF34</f>
        <v>0</v>
      </c>
      <c r="AH34" s="189"/>
      <c r="AI34" s="163"/>
      <c r="AJ34" s="165"/>
      <c r="AK34" s="155"/>
    </row>
    <row r="35" spans="1:58" s="167" customFormat="1" ht="24" customHeight="1" x14ac:dyDescent="0.4">
      <c r="B35" s="112">
        <v>24</v>
      </c>
      <c r="C35" s="129" t="s">
        <v>78</v>
      </c>
      <c r="D35" s="130" t="s">
        <v>56</v>
      </c>
      <c r="E35" s="131"/>
      <c r="F35" s="131"/>
      <c r="G35" s="131">
        <v>2</v>
      </c>
      <c r="H35" s="131"/>
      <c r="I35" s="131"/>
      <c r="J35" s="131"/>
      <c r="K35" s="131">
        <v>36</v>
      </c>
      <c r="L35" s="131">
        <v>6</v>
      </c>
      <c r="M35" s="131"/>
      <c r="N35" s="131"/>
      <c r="O35" s="131"/>
      <c r="P35" s="131">
        <v>163</v>
      </c>
      <c r="Q35" s="131">
        <v>18</v>
      </c>
      <c r="R35" s="131"/>
      <c r="S35" s="131"/>
      <c r="T35" s="131"/>
      <c r="U35" s="131">
        <v>72</v>
      </c>
      <c r="V35" s="131"/>
      <c r="W35" s="131"/>
      <c r="X35" s="122">
        <f t="shared" si="2"/>
        <v>297</v>
      </c>
      <c r="Y35" s="123">
        <v>550</v>
      </c>
      <c r="Z35" s="124">
        <f t="shared" si="3"/>
        <v>163350</v>
      </c>
      <c r="AA35" s="132"/>
      <c r="AB35" s="97"/>
      <c r="AC35" s="98">
        <f t="shared" si="0"/>
        <v>0</v>
      </c>
      <c r="AD35" s="97">
        <v>10000</v>
      </c>
      <c r="AE35" s="97">
        <v>1000</v>
      </c>
      <c r="AF35" s="97"/>
      <c r="AG35" s="98">
        <f t="shared" ref="AG35:AG36" si="10">Z35+AC35+AD35+AE35-AF35</f>
        <v>174350</v>
      </c>
      <c r="AH35" s="213"/>
      <c r="AI35" s="168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</row>
    <row r="36" spans="1:58" s="167" customFormat="1" ht="24" customHeight="1" x14ac:dyDescent="0.4">
      <c r="B36" s="112"/>
      <c r="C36" s="227" t="s">
        <v>246</v>
      </c>
      <c r="D36" s="228" t="s">
        <v>247</v>
      </c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>
        <v>230</v>
      </c>
      <c r="V36" s="131"/>
      <c r="W36" s="131"/>
      <c r="X36" s="122">
        <f t="shared" si="2"/>
        <v>230</v>
      </c>
      <c r="Y36" s="123">
        <v>500</v>
      </c>
      <c r="Z36" s="124">
        <f t="shared" si="3"/>
        <v>115000</v>
      </c>
      <c r="AA36" s="132"/>
      <c r="AB36" s="97"/>
      <c r="AC36" s="98">
        <f t="shared" si="0"/>
        <v>0</v>
      </c>
      <c r="AD36" s="97">
        <v>5000</v>
      </c>
      <c r="AE36" s="97"/>
      <c r="AF36" s="97"/>
      <c r="AG36" s="98">
        <f t="shared" si="10"/>
        <v>120000</v>
      </c>
      <c r="AH36" s="213"/>
      <c r="AI36" s="168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</row>
    <row r="37" spans="1:58" s="106" customFormat="1" ht="19.5" customHeight="1" x14ac:dyDescent="0.35">
      <c r="B37" s="112">
        <v>1</v>
      </c>
      <c r="C37" s="133" t="s">
        <v>50</v>
      </c>
      <c r="D37" s="120" t="s">
        <v>58</v>
      </c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>
        <f>10+9+9+10+10+10+10+10+10+10+8+10+10+9+10+8+8+8+8+8+8+8+8+8</f>
        <v>217</v>
      </c>
      <c r="V37" s="121"/>
      <c r="W37" s="121"/>
      <c r="X37" s="122">
        <f>SUM(E37:W37)</f>
        <v>217</v>
      </c>
      <c r="Y37" s="123">
        <v>650</v>
      </c>
      <c r="Z37" s="124">
        <f t="shared" si="3"/>
        <v>141050</v>
      </c>
      <c r="AA37" s="126"/>
      <c r="AB37" s="100">
        <v>2000</v>
      </c>
      <c r="AC37" s="98">
        <f t="shared" si="0"/>
        <v>0</v>
      </c>
      <c r="AD37" s="103">
        <f>15000</f>
        <v>15000</v>
      </c>
      <c r="AE37" s="99"/>
      <c r="AF37" s="99"/>
      <c r="AG37" s="98">
        <f>Z37+AC37+AD37+AE37-AF37</f>
        <v>156050</v>
      </c>
      <c r="AH37" s="221"/>
      <c r="AI37" s="169" t="s">
        <v>206</v>
      </c>
      <c r="AJ37" s="159"/>
      <c r="AK37" s="159"/>
      <c r="AM37" s="170" t="s">
        <v>142</v>
      </c>
    </row>
    <row r="38" spans="1:58" s="106" customFormat="1" ht="20.25" customHeight="1" x14ac:dyDescent="0.35">
      <c r="B38" s="112">
        <v>2</v>
      </c>
      <c r="C38" s="119" t="s">
        <v>51</v>
      </c>
      <c r="D38" s="120" t="s">
        <v>61</v>
      </c>
      <c r="E38" s="121"/>
      <c r="F38" s="121"/>
      <c r="G38" s="121">
        <f>10+10+10+10+10+10+10+10+10+10+10+10+10+10+10+10+10+10+10+10</f>
        <v>200</v>
      </c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2">
        <f t="shared" si="2"/>
        <v>200</v>
      </c>
      <c r="Y38" s="123">
        <v>600</v>
      </c>
      <c r="Z38" s="124">
        <f t="shared" si="3"/>
        <v>120000</v>
      </c>
      <c r="AA38" s="126"/>
      <c r="AB38" s="100"/>
      <c r="AC38" s="98">
        <f t="shared" si="0"/>
        <v>0</v>
      </c>
      <c r="AD38" s="100"/>
      <c r="AE38" s="101"/>
      <c r="AF38" s="101"/>
      <c r="AG38" s="98">
        <f t="shared" ref="AG38" si="11">Z38+AC38+AD38+AE38-AF38</f>
        <v>120000</v>
      </c>
      <c r="AH38" s="189"/>
      <c r="AI38" s="153"/>
      <c r="AJ38" s="159"/>
      <c r="AK38" s="159"/>
      <c r="AM38" s="170"/>
    </row>
    <row r="39" spans="1:58" s="106" customFormat="1" ht="23.25" customHeight="1" x14ac:dyDescent="0.35">
      <c r="B39" s="112">
        <v>3</v>
      </c>
      <c r="C39" s="119" t="s">
        <v>132</v>
      </c>
      <c r="D39" s="120" t="s">
        <v>60</v>
      </c>
      <c r="E39" s="121"/>
      <c r="F39" s="121"/>
      <c r="G39" s="121">
        <f>10+10+10+10+10+10+10+10+10+10+10+10+10+10+10+10+10+10+10+10+10+10+10+10+10</f>
        <v>250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2">
        <f t="shared" si="2"/>
        <v>250</v>
      </c>
      <c r="Y39" s="123">
        <v>530</v>
      </c>
      <c r="Z39" s="124">
        <f t="shared" si="3"/>
        <v>132500</v>
      </c>
      <c r="AA39" s="126"/>
      <c r="AB39" s="100">
        <v>2000</v>
      </c>
      <c r="AC39" s="98">
        <f t="shared" si="0"/>
        <v>0</v>
      </c>
      <c r="AD39" s="100"/>
      <c r="AE39" s="104">
        <v>4500</v>
      </c>
      <c r="AF39" s="101"/>
      <c r="AG39" s="98">
        <f>Z39+AC39+AD39+AE39-AF39</f>
        <v>137000</v>
      </c>
      <c r="AH39" s="189"/>
      <c r="AI39" s="153"/>
      <c r="AJ39" s="171"/>
      <c r="AK39" s="159"/>
      <c r="AM39" s="170"/>
    </row>
    <row r="40" spans="1:58" s="106" customFormat="1" ht="21.75" customHeight="1" x14ac:dyDescent="0.35">
      <c r="B40" s="112">
        <v>4</v>
      </c>
      <c r="C40" s="119" t="s">
        <v>52</v>
      </c>
      <c r="D40" s="120" t="s">
        <v>59</v>
      </c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>
        <f>10+10+10+10+10+10+10+10+10+10+10+10+10+10+10+10+10+10+10+10+10+10+10+10+10+10</f>
        <v>260</v>
      </c>
      <c r="T40" s="121"/>
      <c r="U40" s="121"/>
      <c r="V40" s="121"/>
      <c r="W40" s="121"/>
      <c r="X40" s="122">
        <f t="shared" si="2"/>
        <v>260</v>
      </c>
      <c r="Y40" s="123">
        <v>550</v>
      </c>
      <c r="Z40" s="124">
        <f t="shared" si="3"/>
        <v>143000</v>
      </c>
      <c r="AA40" s="126"/>
      <c r="AB40" s="100"/>
      <c r="AC40" s="98">
        <f t="shared" si="0"/>
        <v>0</v>
      </c>
      <c r="AD40" s="100"/>
      <c r="AE40" s="102"/>
      <c r="AF40" s="101"/>
      <c r="AG40" s="98">
        <f t="shared" ref="AG40:AG46" si="12">Z40+AC40+AD40+AE40-AF40</f>
        <v>143000</v>
      </c>
      <c r="AH40" s="221"/>
      <c r="AI40" s="172" t="s">
        <v>107</v>
      </c>
      <c r="AJ40" s="173"/>
      <c r="AK40" s="153"/>
    </row>
    <row r="41" spans="1:58" s="106" customFormat="1" ht="23.25" customHeight="1" x14ac:dyDescent="0.35">
      <c r="B41" s="112">
        <v>5</v>
      </c>
      <c r="C41" s="133" t="s">
        <v>108</v>
      </c>
      <c r="D41" s="134" t="s">
        <v>59</v>
      </c>
      <c r="E41" s="112"/>
      <c r="F41" s="112"/>
      <c r="G41" s="121">
        <f>10+10+10+10+10+10+10+10+10+10+10+10+10</f>
        <v>130</v>
      </c>
      <c r="H41" s="112"/>
      <c r="I41" s="112"/>
      <c r="J41" s="121"/>
      <c r="K41" s="112"/>
      <c r="L41" s="121"/>
      <c r="M41" s="121"/>
      <c r="N41" s="121"/>
      <c r="O41" s="121"/>
      <c r="P41" s="112"/>
      <c r="Q41" s="112"/>
      <c r="R41" s="112"/>
      <c r="S41" s="112"/>
      <c r="T41" s="112"/>
      <c r="U41" s="112"/>
      <c r="V41" s="112"/>
      <c r="W41" s="112"/>
      <c r="X41" s="122">
        <f t="shared" si="2"/>
        <v>130</v>
      </c>
      <c r="Y41" s="123">
        <v>500</v>
      </c>
      <c r="Z41" s="124">
        <f t="shared" si="3"/>
        <v>65000</v>
      </c>
      <c r="AA41" s="126"/>
      <c r="AB41" s="100"/>
      <c r="AC41" s="98">
        <f t="shared" si="0"/>
        <v>0</v>
      </c>
      <c r="AD41" s="100"/>
      <c r="AE41" s="99"/>
      <c r="AF41" s="99"/>
      <c r="AG41" s="98">
        <f t="shared" si="12"/>
        <v>65000</v>
      </c>
      <c r="AH41" s="189" t="s">
        <v>255</v>
      </c>
      <c r="AI41" s="174"/>
      <c r="AK41" s="175"/>
      <c r="AL41" s="176"/>
      <c r="AM41" s="176"/>
    </row>
    <row r="42" spans="1:58" s="106" customFormat="1" ht="21" customHeight="1" x14ac:dyDescent="0.35">
      <c r="B42" s="112">
        <v>6</v>
      </c>
      <c r="C42" s="119" t="s">
        <v>164</v>
      </c>
      <c r="D42" s="135" t="s">
        <v>59</v>
      </c>
      <c r="E42" s="121"/>
      <c r="F42" s="121"/>
      <c r="G42" s="121">
        <f>10+10+10+10+10+10+10+10+10+10+10+10+10+10+10+10+10+10+10+10+10+10+10</f>
        <v>230</v>
      </c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12"/>
      <c r="U42" s="112"/>
      <c r="V42" s="112"/>
      <c r="W42" s="112"/>
      <c r="X42" s="122">
        <f t="shared" si="2"/>
        <v>230</v>
      </c>
      <c r="Y42" s="123">
        <v>500</v>
      </c>
      <c r="Z42" s="124">
        <f t="shared" si="3"/>
        <v>115000</v>
      </c>
      <c r="AA42" s="126"/>
      <c r="AB42" s="100">
        <v>2000</v>
      </c>
      <c r="AC42" s="98">
        <f t="shared" si="0"/>
        <v>0</v>
      </c>
      <c r="AD42" s="100"/>
      <c r="AE42" s="99"/>
      <c r="AF42" s="99"/>
      <c r="AG42" s="98">
        <f t="shared" si="12"/>
        <v>115000</v>
      </c>
      <c r="AH42" s="161"/>
      <c r="AI42" s="161"/>
      <c r="AK42" s="175"/>
      <c r="AL42" s="176"/>
      <c r="AM42" s="176"/>
    </row>
    <row r="43" spans="1:58" s="106" customFormat="1" ht="21" customHeight="1" x14ac:dyDescent="0.35">
      <c r="B43" s="112">
        <v>7</v>
      </c>
      <c r="C43" s="119" t="s">
        <v>233</v>
      </c>
      <c r="D43" s="135" t="s">
        <v>91</v>
      </c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12"/>
      <c r="U43" s="112"/>
      <c r="V43" s="112"/>
      <c r="W43" s="112"/>
      <c r="X43" s="122">
        <f t="shared" si="2"/>
        <v>0</v>
      </c>
      <c r="Y43" s="123"/>
      <c r="Z43" s="124">
        <v>134200</v>
      </c>
      <c r="AA43" s="126"/>
      <c r="AB43" s="100"/>
      <c r="AC43" s="98"/>
      <c r="AD43" s="100"/>
      <c r="AE43" s="99"/>
      <c r="AF43" s="99"/>
      <c r="AG43" s="98">
        <f t="shared" si="12"/>
        <v>134200</v>
      </c>
      <c r="AH43" s="162"/>
      <c r="AI43" s="161"/>
      <c r="AK43" s="175"/>
      <c r="AL43" s="176"/>
      <c r="AM43" s="176"/>
    </row>
    <row r="44" spans="1:58" s="106" customFormat="1" ht="18.75" x14ac:dyDescent="0.3">
      <c r="B44" s="112">
        <v>8</v>
      </c>
      <c r="C44" s="136" t="s">
        <v>104</v>
      </c>
      <c r="D44" s="114" t="s">
        <v>59</v>
      </c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23"/>
      <c r="Z44" s="137">
        <v>100000</v>
      </c>
      <c r="AA44" s="118"/>
      <c r="AB44" s="127"/>
      <c r="AC44" s="98">
        <f t="shared" ref="AC44" si="13">AB44*AA44</f>
        <v>0</v>
      </c>
      <c r="AD44" s="127"/>
      <c r="AE44" s="127"/>
      <c r="AF44" s="127"/>
      <c r="AG44" s="98">
        <f t="shared" si="12"/>
        <v>100000</v>
      </c>
      <c r="AH44" s="189"/>
      <c r="AI44" s="149"/>
      <c r="AJ44" s="149"/>
      <c r="AK44" s="175"/>
      <c r="AL44" s="176"/>
      <c r="AM44" s="176"/>
    </row>
    <row r="45" spans="1:58" s="106" customFormat="1" ht="18.75" x14ac:dyDescent="0.3">
      <c r="B45" s="112">
        <v>9</v>
      </c>
      <c r="C45" s="136" t="s">
        <v>129</v>
      </c>
      <c r="D45" s="114" t="s">
        <v>130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37">
        <v>60000</v>
      </c>
      <c r="AA45" s="118"/>
      <c r="AB45" s="127"/>
      <c r="AC45" s="98"/>
      <c r="AD45" s="127"/>
      <c r="AE45" s="127"/>
      <c r="AF45" s="127"/>
      <c r="AG45" s="98">
        <f t="shared" si="12"/>
        <v>60000</v>
      </c>
      <c r="AH45" s="221"/>
      <c r="AI45" s="162"/>
      <c r="AJ45" s="149"/>
      <c r="AK45" s="175"/>
      <c r="AL45" s="176"/>
      <c r="AM45" s="176"/>
    </row>
    <row r="46" spans="1:58" s="106" customFormat="1" ht="18.75" x14ac:dyDescent="0.3">
      <c r="B46" s="112">
        <v>10</v>
      </c>
      <c r="C46" s="136" t="s">
        <v>105</v>
      </c>
      <c r="D46" s="114" t="s">
        <v>106</v>
      </c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37">
        <v>45000</v>
      </c>
      <c r="AA46" s="118"/>
      <c r="AB46" s="127"/>
      <c r="AC46" s="98"/>
      <c r="AD46" s="127"/>
      <c r="AE46" s="127"/>
      <c r="AF46" s="127"/>
      <c r="AG46" s="98">
        <f t="shared" si="12"/>
        <v>45000</v>
      </c>
      <c r="AH46" s="221"/>
      <c r="AI46" s="162"/>
      <c r="AK46" s="175"/>
      <c r="AL46" s="176"/>
      <c r="AM46" s="176"/>
    </row>
    <row r="47" spans="1:58" s="106" customFormat="1" ht="16.5" x14ac:dyDescent="0.25">
      <c r="B47" s="121"/>
      <c r="C47" s="138" t="s">
        <v>53</v>
      </c>
      <c r="D47" s="138" t="s">
        <v>47</v>
      </c>
      <c r="E47" s="138">
        <f t="shared" ref="E47:Y47" si="14">SUM(E12:E46)</f>
        <v>0</v>
      </c>
      <c r="F47" s="138">
        <f t="shared" si="14"/>
        <v>0</v>
      </c>
      <c r="G47" s="138">
        <f t="shared" si="14"/>
        <v>1776</v>
      </c>
      <c r="H47" s="138">
        <f t="shared" si="14"/>
        <v>32</v>
      </c>
      <c r="I47" s="138">
        <f t="shared" si="14"/>
        <v>0</v>
      </c>
      <c r="J47" s="138">
        <f t="shared" si="14"/>
        <v>0</v>
      </c>
      <c r="K47" s="138">
        <f t="shared" si="14"/>
        <v>36</v>
      </c>
      <c r="L47" s="138">
        <f t="shared" si="14"/>
        <v>18</v>
      </c>
      <c r="M47" s="138">
        <f t="shared" si="14"/>
        <v>0</v>
      </c>
      <c r="N47" s="138">
        <f t="shared" si="14"/>
        <v>0</v>
      </c>
      <c r="O47" s="138">
        <f t="shared" si="14"/>
        <v>0</v>
      </c>
      <c r="P47" s="138">
        <f t="shared" si="14"/>
        <v>442</v>
      </c>
      <c r="Q47" s="138">
        <f t="shared" si="14"/>
        <v>18</v>
      </c>
      <c r="R47" s="138">
        <f t="shared" si="14"/>
        <v>115</v>
      </c>
      <c r="S47" s="138">
        <f t="shared" si="14"/>
        <v>260</v>
      </c>
      <c r="T47" s="138">
        <f t="shared" si="14"/>
        <v>0</v>
      </c>
      <c r="U47" s="138">
        <f t="shared" si="14"/>
        <v>2597</v>
      </c>
      <c r="V47" s="138">
        <f t="shared" si="14"/>
        <v>20</v>
      </c>
      <c r="W47" s="138">
        <f t="shared" si="14"/>
        <v>0</v>
      </c>
      <c r="X47" s="139">
        <f t="shared" si="14"/>
        <v>5394</v>
      </c>
      <c r="Y47" s="140">
        <f t="shared" si="14"/>
        <v>18680</v>
      </c>
      <c r="Z47" s="141">
        <f t="shared" ref="Z47:AG47" si="15">SUM(Z5:Z46)</f>
        <v>4841388</v>
      </c>
      <c r="AA47" s="142"/>
      <c r="AB47" s="138">
        <f t="shared" si="15"/>
        <v>16000</v>
      </c>
      <c r="AC47" s="143">
        <f t="shared" si="15"/>
        <v>14000</v>
      </c>
      <c r="AD47" s="143">
        <f t="shared" si="15"/>
        <v>199370</v>
      </c>
      <c r="AE47" s="143">
        <f t="shared" si="15"/>
        <v>40640</v>
      </c>
      <c r="AF47" s="143">
        <f t="shared" si="15"/>
        <v>25000</v>
      </c>
      <c r="AG47" s="143">
        <f t="shared" si="15"/>
        <v>5070398</v>
      </c>
      <c r="AH47" s="190"/>
    </row>
    <row r="48" spans="1:58" s="106" customFormat="1" x14ac:dyDescent="0.25">
      <c r="Z48" s="177"/>
      <c r="AC48" s="177"/>
      <c r="AD48" s="177"/>
      <c r="AG48" s="177"/>
      <c r="AH48" s="177"/>
    </row>
    <row r="49" spans="3:34" s="106" customFormat="1" hidden="1" x14ac:dyDescent="0.25">
      <c r="C49" s="106">
        <v>2684668</v>
      </c>
      <c r="D49" s="106">
        <v>5426</v>
      </c>
      <c r="E49" s="106">
        <f>C49/D49</f>
        <v>494.77847401400663</v>
      </c>
    </row>
    <row r="50" spans="3:34" s="106" customFormat="1" ht="18.75" x14ac:dyDescent="0.3">
      <c r="X50" s="210"/>
      <c r="AC50" s="177"/>
      <c r="AD50" s="177"/>
      <c r="AF50" s="177"/>
      <c r="AG50" s="178">
        <f>Z47+AC47+AD47+AE47-AF47</f>
        <v>5070398</v>
      </c>
      <c r="AH50" s="191"/>
    </row>
    <row r="51" spans="3:34" ht="18.75" x14ac:dyDescent="0.3">
      <c r="D51" s="18">
        <f>AG47/X47</f>
        <v>940.00704486466441</v>
      </c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7"/>
      <c r="AH51" s="17"/>
    </row>
    <row r="52" spans="3:34" ht="18.75" customHeight="1" x14ac:dyDescent="0.3">
      <c r="C52" s="6" t="str">
        <f>E3</f>
        <v>Гольф</v>
      </c>
      <c r="D52" s="13">
        <f>E47*D51</f>
        <v>0</v>
      </c>
      <c r="H52" t="s">
        <v>83</v>
      </c>
      <c r="J52" s="197"/>
      <c r="K52" s="197"/>
      <c r="L52" s="197"/>
      <c r="M52" s="197"/>
      <c r="N52" s="197"/>
      <c r="O52" s="256"/>
      <c r="P52" s="256"/>
      <c r="Q52" s="256"/>
      <c r="R52" s="256"/>
      <c r="S52" s="256"/>
      <c r="T52" s="256"/>
      <c r="U52" s="256"/>
      <c r="V52" s="256"/>
      <c r="W52" s="256"/>
      <c r="X52" s="256"/>
      <c r="Y52" s="256"/>
      <c r="Z52" s="256"/>
      <c r="AA52" s="256"/>
      <c r="AB52" s="256"/>
      <c r="AC52" s="197"/>
      <c r="AD52" s="197"/>
      <c r="AE52" s="197"/>
      <c r="AF52" s="197"/>
    </row>
    <row r="53" spans="3:34" ht="21" customHeight="1" x14ac:dyDescent="0.35">
      <c r="C53" s="14" t="str">
        <f>F4</f>
        <v xml:space="preserve"> ГТП-122/СМР21</v>
      </c>
      <c r="D53" s="13">
        <f>D51*F47</f>
        <v>0</v>
      </c>
      <c r="J53" s="197"/>
      <c r="K53" s="197"/>
      <c r="L53" s="197"/>
      <c r="M53" s="198"/>
      <c r="N53" s="197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197"/>
      <c r="AD53" s="197"/>
      <c r="AE53" s="197"/>
      <c r="AF53" s="197"/>
    </row>
    <row r="54" spans="3:34" ht="21" x14ac:dyDescent="0.35">
      <c r="C54" s="6" t="str">
        <f>G4</f>
        <v>ГТП-189/СМР-23</v>
      </c>
      <c r="D54" s="13">
        <f>G47*D51</f>
        <v>1669452.511679644</v>
      </c>
      <c r="J54" s="197"/>
      <c r="K54" s="197"/>
      <c r="L54" s="197"/>
      <c r="M54" s="198"/>
      <c r="N54" s="197"/>
      <c r="O54" s="256"/>
      <c r="P54" s="256"/>
      <c r="Q54" s="256"/>
      <c r="R54" s="256"/>
      <c r="S54" s="256"/>
      <c r="T54" s="256"/>
      <c r="U54" s="256"/>
      <c r="V54" s="256"/>
      <c r="W54" s="256"/>
      <c r="X54" s="256"/>
      <c r="Y54" s="256"/>
      <c r="Z54" s="256"/>
      <c r="AA54" s="256"/>
      <c r="AB54" s="256"/>
      <c r="AC54" s="197"/>
      <c r="AD54" s="197"/>
      <c r="AE54" s="197"/>
      <c r="AF54" s="197"/>
    </row>
    <row r="55" spans="3:34" ht="18.75" customHeight="1" x14ac:dyDescent="0.45">
      <c r="C55" s="6" t="str">
        <f>H4</f>
        <v>Марьино</v>
      </c>
      <c r="D55" s="13">
        <f>H47*D51</f>
        <v>30080.225435669261</v>
      </c>
      <c r="J55" s="197"/>
      <c r="K55" s="197"/>
      <c r="L55" s="197"/>
      <c r="M55" s="197"/>
      <c r="N55" s="197"/>
      <c r="O55" s="256"/>
      <c r="P55" s="256"/>
      <c r="Q55" s="256"/>
      <c r="R55" s="256"/>
      <c r="S55" s="256"/>
      <c r="T55" s="256"/>
      <c r="U55" s="256"/>
      <c r="V55" s="256"/>
      <c r="W55" s="256"/>
      <c r="X55" s="256"/>
      <c r="Y55" s="256"/>
      <c r="Z55" s="256"/>
      <c r="AA55" s="256"/>
      <c r="AB55" s="256"/>
      <c r="AC55" s="199"/>
      <c r="AD55" s="199"/>
      <c r="AE55" s="197"/>
      <c r="AF55" s="197"/>
    </row>
    <row r="56" spans="3:34" ht="18.75" customHeight="1" x14ac:dyDescent="0.35">
      <c r="C56" s="6" t="str">
        <f>I4</f>
        <v>Гараж</v>
      </c>
      <c r="D56" s="13">
        <f>I47*D51</f>
        <v>0</v>
      </c>
      <c r="J56" s="197"/>
      <c r="K56" s="197"/>
      <c r="L56" s="197"/>
      <c r="M56" s="197"/>
      <c r="N56" s="197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197"/>
      <c r="Z56" s="197"/>
      <c r="AA56" s="197"/>
      <c r="AB56" s="200"/>
      <c r="AC56" s="200"/>
      <c r="AD56" s="200"/>
      <c r="AE56" s="201"/>
      <c r="AF56" s="201"/>
      <c r="AG56" s="201"/>
      <c r="AH56" s="201"/>
    </row>
    <row r="57" spans="3:34" ht="18.75" x14ac:dyDescent="0.3">
      <c r="C57" s="6" t="str">
        <f>J3</f>
        <v>Истра</v>
      </c>
      <c r="D57" s="13">
        <f>J47*D51</f>
        <v>0</v>
      </c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</row>
    <row r="58" spans="3:34" ht="18.75" x14ac:dyDescent="0.3">
      <c r="C58" s="6" t="str">
        <f>K3</f>
        <v>Заправка техники</v>
      </c>
      <c r="D58" s="13">
        <f>K47*D51</f>
        <v>33840.25361512792</v>
      </c>
      <c r="G58" s="202"/>
      <c r="J58" s="197"/>
      <c r="K58" s="197"/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97"/>
    </row>
    <row r="59" spans="3:34" ht="18.75" x14ac:dyDescent="0.3">
      <c r="C59" s="14" t="str">
        <f>L3</f>
        <v>Солчнечногорск</v>
      </c>
      <c r="D59" s="13">
        <f>L47*D51</f>
        <v>16920.12680756396</v>
      </c>
      <c r="J59" s="197"/>
      <c r="K59" s="197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97"/>
    </row>
    <row r="60" spans="3:34" ht="30.75" x14ac:dyDescent="0.3">
      <c r="C60" s="14" t="str">
        <f>N3</f>
        <v>РЕМОНТ ИНСТРУМЕНТА</v>
      </c>
      <c r="D60" s="13">
        <f>N47*D51</f>
        <v>0</v>
      </c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7"/>
      <c r="X60" s="197"/>
      <c r="Y60" s="197"/>
      <c r="Z60" s="197"/>
      <c r="AA60" s="197"/>
      <c r="AB60" s="197"/>
      <c r="AC60" s="197"/>
      <c r="AD60" s="197"/>
      <c r="AE60" s="197"/>
      <c r="AF60" s="197"/>
    </row>
    <row r="61" spans="3:34" ht="18.75" x14ac:dyDescent="0.3">
      <c r="C61" s="14" t="str">
        <f>M3</f>
        <v xml:space="preserve"> Сколково- Бизнес Парк</v>
      </c>
      <c r="D61" s="13">
        <f>M47*D51</f>
        <v>0</v>
      </c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</row>
    <row r="62" spans="3:34" ht="18.75" x14ac:dyDescent="0.3">
      <c r="C62" s="203" t="str">
        <f>O3</f>
        <v>ФОК (ВДНХ)</v>
      </c>
      <c r="D62" s="13">
        <f>O47*D51</f>
        <v>0</v>
      </c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</row>
    <row r="63" spans="3:34" ht="18.75" x14ac:dyDescent="0.3">
      <c r="C63" s="203" t="str">
        <f>P3</f>
        <v xml:space="preserve">Зареченские дачи </v>
      </c>
      <c r="D63" s="13">
        <f>P47*D51</f>
        <v>415483.11383018165</v>
      </c>
      <c r="G63" s="202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97"/>
      <c r="AE63" s="197"/>
      <c r="AF63" s="197"/>
    </row>
    <row r="64" spans="3:34" x14ac:dyDescent="0.25">
      <c r="C64" s="14" t="str">
        <f>Q3</f>
        <v>Аврора</v>
      </c>
      <c r="D64" s="13">
        <f>Q47*D51</f>
        <v>16920.12680756396</v>
      </c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</row>
    <row r="65" spans="3:29" x14ac:dyDescent="0.25">
      <c r="C65" s="14" t="str">
        <f>R3</f>
        <v>РЕМОНТ</v>
      </c>
      <c r="D65" s="13">
        <f>R47*D51</f>
        <v>108100.81015943641</v>
      </c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</row>
    <row r="66" spans="3:29" x14ac:dyDescent="0.25">
      <c r="C66" s="14" t="str">
        <f>S3</f>
        <v xml:space="preserve">Эксплуатация </v>
      </c>
      <c r="D66" s="13">
        <f>S47*D51</f>
        <v>244401.83166481275</v>
      </c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</row>
    <row r="67" spans="3:29" x14ac:dyDescent="0.25">
      <c r="C67" s="14" t="str">
        <f>T3</f>
        <v>Доставка мат-ов на базу</v>
      </c>
      <c r="D67" s="13">
        <f>D51*T47</f>
        <v>0</v>
      </c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</row>
    <row r="68" spans="3:29" x14ac:dyDescent="0.25">
      <c r="C68" s="14" t="str">
        <f>U3</f>
        <v>Ветклиника</v>
      </c>
      <c r="D68" s="13">
        <f>D51*U47</f>
        <v>2441198.2955135335</v>
      </c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</row>
    <row r="69" spans="3:29" x14ac:dyDescent="0.25">
      <c r="C69" s="14" t="str">
        <f>V3</f>
        <v>Кольцовыо</v>
      </c>
      <c r="D69" s="13">
        <f>D51*V47</f>
        <v>18800.140897293288</v>
      </c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</row>
    <row r="70" spans="3:29" x14ac:dyDescent="0.25">
      <c r="C70" s="14" t="str">
        <f>W3</f>
        <v>Пировгов</v>
      </c>
      <c r="D70" s="13">
        <f>D51*W47</f>
        <v>0</v>
      </c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</row>
    <row r="71" spans="3:29" ht="16.5" x14ac:dyDescent="0.25">
      <c r="C71" s="6"/>
      <c r="D71" s="12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</row>
    <row r="72" spans="3:29" ht="18.75" x14ac:dyDescent="0.3">
      <c r="D72" s="205">
        <f>SUM(D52:D71)</f>
        <v>4995197.4364108266</v>
      </c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</row>
  </sheetData>
  <sheetProtection algorithmName="SHA-512" hashValue="uVLeU7z3M77al9kvijKn66K9BEQQujAnQQccahl3izTHXhgMDaWtIZeQrazxc0PHh1LhlQVD8sbFL4a5jK4deQ==" saltValue="5feuzhK7sCT4fx1nPHr4+w==" spinCount="100000" sheet="1" selectLockedCells="1"/>
  <mergeCells count="33">
    <mergeCell ref="AF3:AF4"/>
    <mergeCell ref="U3:U4"/>
    <mergeCell ref="W3:W4"/>
    <mergeCell ref="V3:V4"/>
    <mergeCell ref="AG3:AG4"/>
    <mergeCell ref="Y3:Y4"/>
    <mergeCell ref="Z3:Z4"/>
    <mergeCell ref="AA3:AA4"/>
    <mergeCell ref="AB3:AB4"/>
    <mergeCell ref="AC3:AC4"/>
    <mergeCell ref="AD3:AD4"/>
    <mergeCell ref="AE3:AE4"/>
    <mergeCell ref="J3:J4"/>
    <mergeCell ref="M3:M4"/>
    <mergeCell ref="N3:N4"/>
    <mergeCell ref="R3:R4"/>
    <mergeCell ref="Q3:Q4"/>
    <mergeCell ref="O52:AB55"/>
    <mergeCell ref="AI11:AJ11"/>
    <mergeCell ref="B1:Z2"/>
    <mergeCell ref="F3:G3"/>
    <mergeCell ref="H3:I3"/>
    <mergeCell ref="B3:B4"/>
    <mergeCell ref="C3:C4"/>
    <mergeCell ref="D3:D4"/>
    <mergeCell ref="E3:E4"/>
    <mergeCell ref="L3:L4"/>
    <mergeCell ref="P3:P4"/>
    <mergeCell ref="S3:S4"/>
    <mergeCell ref="X3:X4"/>
    <mergeCell ref="K3:K4"/>
    <mergeCell ref="T3:T4"/>
    <mergeCell ref="O3:O4"/>
  </mergeCells>
  <phoneticPr fontId="28" type="noConversion"/>
  <pageMargins left="0.7" right="0.7" top="0.75" bottom="0.75" header="0.3" footer="0.3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zoomScale="80" zoomScaleNormal="80" workbookViewId="0">
      <selection activeCell="N22" sqref="N22"/>
    </sheetView>
  </sheetViews>
  <sheetFormatPr defaultRowHeight="15" x14ac:dyDescent="0.25"/>
  <cols>
    <col min="1" max="1" width="6.85546875" customWidth="1"/>
    <col min="2" max="2" width="30" customWidth="1"/>
    <col min="3" max="3" width="15.85546875" customWidth="1"/>
    <col min="4" max="4" width="5.42578125" customWidth="1"/>
    <col min="5" max="5" width="6.5703125" customWidth="1"/>
    <col min="6" max="7" width="6.28515625" customWidth="1"/>
    <col min="8" max="8" width="6.42578125" customWidth="1"/>
    <col min="9" max="9" width="6.5703125" customWidth="1"/>
    <col min="10" max="10" width="8.5703125" customWidth="1"/>
    <col min="11" max="11" width="10.28515625" customWidth="1"/>
    <col min="12" max="12" width="11.85546875" customWidth="1"/>
    <col min="13" max="13" width="14.42578125" customWidth="1"/>
    <col min="14" max="14" width="17.28515625" customWidth="1"/>
    <col min="15" max="15" width="46.85546875" customWidth="1"/>
    <col min="16" max="16" width="53.28515625" customWidth="1"/>
    <col min="17" max="17" width="20.28515625" customWidth="1"/>
    <col min="18" max="18" width="14.140625" customWidth="1"/>
    <col min="19" max="19" width="16.5703125" customWidth="1"/>
    <col min="20" max="20" width="15.28515625" customWidth="1"/>
    <col min="21" max="21" width="12.140625" bestFit="1" customWidth="1"/>
    <col min="22" max="22" width="16.140625" customWidth="1"/>
    <col min="23" max="23" width="18" customWidth="1"/>
  </cols>
  <sheetData>
    <row r="1" spans="1:22" x14ac:dyDescent="0.25">
      <c r="A1" s="304" t="s">
        <v>251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</row>
    <row r="2" spans="1:22" ht="28.5" customHeight="1" x14ac:dyDescent="0.25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V2" s="20"/>
    </row>
    <row r="3" spans="1:22" ht="41.25" customHeight="1" x14ac:dyDescent="0.25">
      <c r="A3" s="305" t="s">
        <v>0</v>
      </c>
      <c r="B3" s="307" t="s">
        <v>1</v>
      </c>
      <c r="C3" s="307" t="s">
        <v>2</v>
      </c>
      <c r="D3" s="309" t="s">
        <v>211</v>
      </c>
      <c r="E3" s="311"/>
      <c r="F3" s="312"/>
      <c r="G3" s="313" t="s">
        <v>235</v>
      </c>
      <c r="H3" s="324" t="s">
        <v>203</v>
      </c>
      <c r="I3" s="315" t="s">
        <v>139</v>
      </c>
      <c r="J3" s="319" t="s">
        <v>62</v>
      </c>
      <c r="K3" s="321" t="s">
        <v>63</v>
      </c>
      <c r="L3" s="323" t="s">
        <v>113</v>
      </c>
      <c r="M3" s="321" t="s">
        <v>165</v>
      </c>
      <c r="N3" s="317" t="s">
        <v>68</v>
      </c>
    </row>
    <row r="4" spans="1:22" ht="98.25" customHeight="1" x14ac:dyDescent="0.25">
      <c r="A4" s="306"/>
      <c r="B4" s="308"/>
      <c r="C4" s="308"/>
      <c r="D4" s="310"/>
      <c r="E4" s="15" t="s">
        <v>222</v>
      </c>
      <c r="F4" s="16" t="s">
        <v>213</v>
      </c>
      <c r="G4" s="314"/>
      <c r="H4" s="325"/>
      <c r="I4" s="316"/>
      <c r="J4" s="320"/>
      <c r="K4" s="322"/>
      <c r="L4" s="322"/>
      <c r="M4" s="322"/>
      <c r="N4" s="318"/>
    </row>
    <row r="5" spans="1:22" ht="14.25" customHeight="1" x14ac:dyDescent="0.25">
      <c r="A5" s="7"/>
      <c r="B5" s="36" t="s">
        <v>87</v>
      </c>
      <c r="C5" s="7"/>
      <c r="D5" s="7"/>
      <c r="E5" s="7"/>
      <c r="F5" s="7"/>
      <c r="G5" s="7"/>
      <c r="H5" s="7"/>
      <c r="I5" s="7"/>
      <c r="J5" s="44"/>
      <c r="K5" s="46"/>
      <c r="L5" s="7"/>
      <c r="M5" s="33" t="s">
        <v>166</v>
      </c>
      <c r="N5" s="34"/>
    </row>
    <row r="6" spans="1:22" ht="18.75" customHeight="1" x14ac:dyDescent="0.35">
      <c r="A6" s="7">
        <v>1</v>
      </c>
      <c r="B6" s="40" t="s">
        <v>131</v>
      </c>
      <c r="C6" s="7" t="s">
        <v>102</v>
      </c>
      <c r="D6" s="7"/>
      <c r="E6" s="7"/>
      <c r="F6" s="7"/>
      <c r="G6" s="7"/>
      <c r="H6" s="7"/>
      <c r="I6" s="7"/>
      <c r="J6" s="44">
        <f t="shared" ref="J6:J15" si="0">D6+F6+I6+E6+G6+H6</f>
        <v>0</v>
      </c>
      <c r="K6" s="46">
        <v>500</v>
      </c>
      <c r="L6" s="7"/>
      <c r="M6" s="33"/>
      <c r="N6" s="34">
        <f t="shared" ref="N6:N22" si="1">K6*J6-M6+L6</f>
        <v>0</v>
      </c>
      <c r="O6" s="78" t="s">
        <v>255</v>
      </c>
      <c r="Q6" s="45"/>
      <c r="R6" s="45"/>
      <c r="S6" s="45"/>
    </row>
    <row r="7" spans="1:22" ht="18.75" customHeight="1" x14ac:dyDescent="0.35">
      <c r="A7" s="7">
        <v>2</v>
      </c>
      <c r="B7" s="40" t="s">
        <v>173</v>
      </c>
      <c r="C7" s="7" t="s">
        <v>102</v>
      </c>
      <c r="D7" s="7"/>
      <c r="E7" s="7"/>
      <c r="F7" s="7">
        <f>10+10+10+10+10+10+10+10+10+10+10+10+10+10+10+10+10+10+10+10+10+10+10+10+10+10</f>
        <v>260</v>
      </c>
      <c r="G7" s="7"/>
      <c r="H7" s="7"/>
      <c r="I7" s="7"/>
      <c r="J7" s="44">
        <f t="shared" si="0"/>
        <v>260</v>
      </c>
      <c r="K7" s="46">
        <v>500</v>
      </c>
      <c r="L7" s="7"/>
      <c r="M7" s="33"/>
      <c r="N7" s="34">
        <f t="shared" si="1"/>
        <v>130000</v>
      </c>
      <c r="O7" s="88"/>
      <c r="Q7" s="45"/>
      <c r="R7" s="45"/>
      <c r="S7" s="45"/>
    </row>
    <row r="8" spans="1:22" ht="18.75" customHeight="1" x14ac:dyDescent="0.35">
      <c r="A8" s="7">
        <v>3</v>
      </c>
      <c r="B8" s="40" t="s">
        <v>196</v>
      </c>
      <c r="C8" s="7" t="s">
        <v>102</v>
      </c>
      <c r="D8" s="7"/>
      <c r="E8" s="7"/>
      <c r="F8" s="7">
        <f>10+10+10+10+10+10+10+10+10+10+10+10+10+10+10+10+10+10+10+10+10+10+10+10+10+10</f>
        <v>260</v>
      </c>
      <c r="G8" s="7"/>
      <c r="H8" s="7"/>
      <c r="I8" s="7"/>
      <c r="J8" s="44">
        <f t="shared" si="0"/>
        <v>260</v>
      </c>
      <c r="K8" s="46">
        <v>500</v>
      </c>
      <c r="L8" s="7"/>
      <c r="M8" s="33"/>
      <c r="N8" s="34">
        <f t="shared" si="1"/>
        <v>130000</v>
      </c>
      <c r="O8" s="88"/>
      <c r="Q8" s="45"/>
      <c r="R8" s="45"/>
      <c r="S8" s="45"/>
    </row>
    <row r="9" spans="1:22" ht="18.75" customHeight="1" x14ac:dyDescent="0.35">
      <c r="A9" s="7">
        <v>4</v>
      </c>
      <c r="B9" s="40" t="s">
        <v>212</v>
      </c>
      <c r="C9" s="7" t="s">
        <v>102</v>
      </c>
      <c r="D9" s="7"/>
      <c r="E9" s="7"/>
      <c r="F9" s="7">
        <f>10+10+10+10+10+10+10+10+10+10+10+10+10+10+10+10+10+10+10+10+10+10+10+10+10+10</f>
        <v>260</v>
      </c>
      <c r="G9" s="7"/>
      <c r="H9" s="7"/>
      <c r="I9" s="7"/>
      <c r="J9" s="44">
        <f t="shared" si="0"/>
        <v>260</v>
      </c>
      <c r="K9" s="46">
        <v>500</v>
      </c>
      <c r="L9" s="7"/>
      <c r="M9" s="33"/>
      <c r="N9" s="34">
        <f t="shared" si="1"/>
        <v>130000</v>
      </c>
      <c r="O9" s="88"/>
      <c r="Q9" s="45"/>
      <c r="R9" s="45"/>
      <c r="S9" s="45"/>
    </row>
    <row r="10" spans="1:22" ht="18.75" customHeight="1" x14ac:dyDescent="0.35">
      <c r="A10" s="7">
        <v>5</v>
      </c>
      <c r="B10" s="40" t="s">
        <v>210</v>
      </c>
      <c r="C10" s="7" t="s">
        <v>102</v>
      </c>
      <c r="D10" s="7"/>
      <c r="E10" s="7"/>
      <c r="F10" s="7"/>
      <c r="G10" s="7"/>
      <c r="H10" s="7"/>
      <c r="I10" s="7">
        <f>10+10+10+10+10+10+8+10+10+10+10+10+10+10+10+10+10+10+10+8+10+10+10+10+10+10+10+10+8</f>
        <v>284</v>
      </c>
      <c r="J10" s="44">
        <f t="shared" si="0"/>
        <v>284</v>
      </c>
      <c r="K10" s="46">
        <v>500</v>
      </c>
      <c r="L10" s="7"/>
      <c r="M10" s="33"/>
      <c r="N10" s="34">
        <f t="shared" si="1"/>
        <v>142000</v>
      </c>
      <c r="O10" s="88"/>
      <c r="Q10" s="45"/>
      <c r="R10" s="45"/>
      <c r="S10" s="45"/>
    </row>
    <row r="11" spans="1:22" ht="18.75" customHeight="1" x14ac:dyDescent="0.35">
      <c r="A11" s="7">
        <v>6</v>
      </c>
      <c r="B11" s="40" t="s">
        <v>234</v>
      </c>
      <c r="C11" s="7"/>
      <c r="D11" s="7"/>
      <c r="E11" s="7"/>
      <c r="F11" s="7">
        <f>10+10+10+10+10+10+10+10+10+10+10+10+10+10+10+10+10+10+10+10+10+10+10+10+10+10</f>
        <v>260</v>
      </c>
      <c r="G11" s="7"/>
      <c r="H11" s="7"/>
      <c r="I11" s="7"/>
      <c r="J11" s="44">
        <f t="shared" si="0"/>
        <v>260</v>
      </c>
      <c r="K11" s="46">
        <v>500</v>
      </c>
      <c r="L11" s="7"/>
      <c r="M11" s="33"/>
      <c r="N11" s="34">
        <f t="shared" si="1"/>
        <v>130000</v>
      </c>
      <c r="O11" s="88"/>
      <c r="Q11" s="45"/>
      <c r="R11" s="45"/>
      <c r="S11" s="45"/>
    </row>
    <row r="12" spans="1:22" ht="18.75" customHeight="1" x14ac:dyDescent="0.35">
      <c r="A12" s="7"/>
      <c r="B12" s="40"/>
      <c r="C12" s="7"/>
      <c r="D12" s="7"/>
      <c r="E12" s="7"/>
      <c r="F12" s="7"/>
      <c r="G12" s="7"/>
      <c r="H12" s="7"/>
      <c r="I12" s="7"/>
      <c r="J12" s="44"/>
      <c r="K12" s="46"/>
      <c r="L12" s="7"/>
      <c r="M12" s="33"/>
      <c r="N12" s="34"/>
      <c r="O12" s="88"/>
      <c r="Q12" s="45"/>
      <c r="R12" s="45"/>
      <c r="S12" s="45"/>
    </row>
    <row r="13" spans="1:22" ht="18.75" customHeight="1" x14ac:dyDescent="0.35">
      <c r="A13" s="7">
        <v>1</v>
      </c>
      <c r="B13" s="40" t="s">
        <v>187</v>
      </c>
      <c r="C13" s="7" t="s">
        <v>102</v>
      </c>
      <c r="D13" s="7"/>
      <c r="E13" s="7"/>
      <c r="F13" s="7">
        <f>10+10+10+10+10+10+10+10+10+10+10+10+10+10+10+10+10+10+10+10+10+10</f>
        <v>220</v>
      </c>
      <c r="G13" s="7"/>
      <c r="H13" s="7"/>
      <c r="I13" s="7"/>
      <c r="J13" s="44">
        <f t="shared" si="0"/>
        <v>220</v>
      </c>
      <c r="K13" s="46">
        <v>530</v>
      </c>
      <c r="L13" s="7"/>
      <c r="M13" s="33"/>
      <c r="N13" s="229">
        <f t="shared" si="1"/>
        <v>116600</v>
      </c>
      <c r="O13" s="182" t="s">
        <v>254</v>
      </c>
      <c r="Q13" s="45"/>
      <c r="R13" s="45"/>
      <c r="S13" s="45"/>
    </row>
    <row r="14" spans="1:22" ht="16.5" customHeight="1" x14ac:dyDescent="0.35">
      <c r="A14" s="7">
        <v>2</v>
      </c>
      <c r="B14" s="40" t="s">
        <v>188</v>
      </c>
      <c r="C14" s="7" t="s">
        <v>102</v>
      </c>
      <c r="D14" s="7"/>
      <c r="E14" s="7"/>
      <c r="F14" s="7">
        <f>10+10+10+10+10+10+10+10+10+10+10+10+10+10+10+10+10+10+10+10+10+10+10+10+10+10+10+10</f>
        <v>280</v>
      </c>
      <c r="G14" s="7"/>
      <c r="H14" s="7"/>
      <c r="I14" s="7"/>
      <c r="J14" s="44">
        <f t="shared" si="0"/>
        <v>280</v>
      </c>
      <c r="K14" s="46">
        <v>500</v>
      </c>
      <c r="L14" s="7">
        <v>5000</v>
      </c>
      <c r="M14" s="33"/>
      <c r="N14" s="34">
        <f t="shared" si="1"/>
        <v>145000</v>
      </c>
      <c r="O14" s="182"/>
      <c r="Q14" s="45"/>
      <c r="R14" s="45"/>
      <c r="S14" s="45"/>
    </row>
    <row r="15" spans="1:22" ht="21" customHeight="1" x14ac:dyDescent="0.35">
      <c r="A15" s="7">
        <v>3</v>
      </c>
      <c r="B15" s="40" t="s">
        <v>189</v>
      </c>
      <c r="C15" s="7" t="s">
        <v>102</v>
      </c>
      <c r="D15" s="7"/>
      <c r="E15" s="7"/>
      <c r="F15" s="7">
        <f>10+10+10+10+10+10+10+10+10+10+10+10+10+10+10+10+10+10+10+10+10+10</f>
        <v>220</v>
      </c>
      <c r="G15" s="7"/>
      <c r="H15" s="7"/>
      <c r="I15" s="7"/>
      <c r="J15" s="44">
        <f t="shared" si="0"/>
        <v>220</v>
      </c>
      <c r="K15" s="46">
        <v>500</v>
      </c>
      <c r="L15" s="7"/>
      <c r="M15" s="33"/>
      <c r="N15" s="229">
        <f t="shared" si="1"/>
        <v>110000</v>
      </c>
      <c r="O15" s="182" t="s">
        <v>254</v>
      </c>
      <c r="Q15" s="45"/>
      <c r="R15" s="45"/>
      <c r="S15" s="45"/>
    </row>
    <row r="16" spans="1:22" ht="15.75" customHeight="1" x14ac:dyDescent="0.25">
      <c r="A16" s="7"/>
      <c r="B16" s="6"/>
      <c r="C16" s="7"/>
      <c r="D16" s="7"/>
      <c r="E16" s="7"/>
      <c r="F16" s="7"/>
      <c r="G16" s="7"/>
      <c r="H16" s="7"/>
      <c r="I16" s="7"/>
      <c r="J16" s="44"/>
      <c r="K16" s="46"/>
      <c r="L16" s="7"/>
      <c r="M16" s="33"/>
      <c r="N16" s="34"/>
    </row>
    <row r="17" spans="1:16" ht="17.25" customHeight="1" x14ac:dyDescent="0.25">
      <c r="A17" s="7"/>
      <c r="B17" s="36" t="s">
        <v>88</v>
      </c>
      <c r="C17" s="7"/>
      <c r="D17" s="7"/>
      <c r="E17" s="7"/>
      <c r="F17" s="7"/>
      <c r="G17" s="7"/>
      <c r="H17" s="7"/>
      <c r="I17" s="7"/>
      <c r="J17" s="44"/>
      <c r="K17" s="46"/>
      <c r="L17" s="7"/>
      <c r="M17" s="33"/>
      <c r="N17" s="34"/>
    </row>
    <row r="18" spans="1:16" ht="18" customHeight="1" x14ac:dyDescent="0.25">
      <c r="A18" s="7">
        <v>2</v>
      </c>
      <c r="B18" s="35" t="s">
        <v>223</v>
      </c>
      <c r="C18" s="7" t="s">
        <v>77</v>
      </c>
      <c r="D18" s="7"/>
      <c r="E18" s="7"/>
      <c r="F18" s="7"/>
      <c r="G18" s="7"/>
      <c r="H18" s="7"/>
      <c r="I18" s="7">
        <f>10+10+10+10+10+10+10+10+10+10+10+10+8+10+10+10+10+10+10+10+10+10+10+10+10+8+10+10+8</f>
        <v>284</v>
      </c>
      <c r="J18" s="44">
        <f>D18+F18+I18+E18+G18+H18</f>
        <v>284</v>
      </c>
      <c r="K18" s="46">
        <v>500</v>
      </c>
      <c r="L18" s="7"/>
      <c r="M18" s="33"/>
      <c r="N18" s="34">
        <f t="shared" si="1"/>
        <v>142000</v>
      </c>
      <c r="O18" s="187" t="s">
        <v>180</v>
      </c>
      <c r="P18" s="43"/>
    </row>
    <row r="19" spans="1:16" ht="19.5" customHeight="1" x14ac:dyDescent="0.25">
      <c r="A19" s="7">
        <v>3</v>
      </c>
      <c r="B19" s="35" t="s">
        <v>167</v>
      </c>
      <c r="C19" s="7" t="s">
        <v>77</v>
      </c>
      <c r="D19" s="7"/>
      <c r="E19" s="7"/>
      <c r="F19" s="7">
        <f>10+10+10+10+10+10+10+10+10+10+10+10+10+10+10+10+10+10+10+10+10+10+10+10+10+10</f>
        <v>260</v>
      </c>
      <c r="G19" s="7"/>
      <c r="H19" s="7"/>
      <c r="I19" s="7"/>
      <c r="J19" s="44">
        <f>D19+F19+I19+E19+G19+H19</f>
        <v>260</v>
      </c>
      <c r="K19" s="46">
        <v>530</v>
      </c>
      <c r="L19" s="7"/>
      <c r="M19" s="33"/>
      <c r="N19" s="34">
        <f t="shared" si="1"/>
        <v>137800</v>
      </c>
      <c r="O19" s="186"/>
      <c r="P19" s="43"/>
    </row>
    <row r="20" spans="1:16" ht="19.5" customHeight="1" x14ac:dyDescent="0.25">
      <c r="A20" s="7">
        <v>4</v>
      </c>
      <c r="B20" s="35" t="s">
        <v>200</v>
      </c>
      <c r="C20" s="7" t="s">
        <v>91</v>
      </c>
      <c r="D20" s="7"/>
      <c r="E20" s="7"/>
      <c r="F20" s="7"/>
      <c r="G20" s="7"/>
      <c r="H20" s="7"/>
      <c r="I20" s="7"/>
      <c r="J20" s="44">
        <f>D20+F20+I20+E20+G20+H20</f>
        <v>0</v>
      </c>
      <c r="K20" s="46">
        <v>100000</v>
      </c>
      <c r="L20" s="7">
        <v>20000</v>
      </c>
      <c r="M20" s="33"/>
      <c r="N20" s="34">
        <f>K20+L20</f>
        <v>120000</v>
      </c>
      <c r="O20" s="187" t="s">
        <v>208</v>
      </c>
      <c r="P20" s="43" t="s">
        <v>201</v>
      </c>
    </row>
    <row r="21" spans="1:16" ht="18" customHeight="1" x14ac:dyDescent="0.25">
      <c r="A21" s="7">
        <v>5</v>
      </c>
      <c r="B21" s="35" t="s">
        <v>237</v>
      </c>
      <c r="C21" s="7" t="s">
        <v>91</v>
      </c>
      <c r="D21" s="7"/>
      <c r="E21" s="7"/>
      <c r="F21" s="7"/>
      <c r="G21" s="7"/>
      <c r="H21" s="7">
        <v>256</v>
      </c>
      <c r="I21" s="7"/>
      <c r="J21" s="44">
        <f>D21+F21+I21+E21+G21+H21</f>
        <v>256</v>
      </c>
      <c r="K21" s="46">
        <v>500</v>
      </c>
      <c r="L21" s="7"/>
      <c r="M21" s="33"/>
      <c r="N21" s="34">
        <f t="shared" si="1"/>
        <v>128000</v>
      </c>
      <c r="O21" s="223" t="s">
        <v>239</v>
      </c>
      <c r="P21" s="186"/>
    </row>
    <row r="22" spans="1:16" ht="19.5" customHeight="1" x14ac:dyDescent="0.25">
      <c r="A22" s="7">
        <v>6</v>
      </c>
      <c r="B22" s="35" t="s">
        <v>190</v>
      </c>
      <c r="C22" s="7" t="s">
        <v>77</v>
      </c>
      <c r="D22" s="7"/>
      <c r="E22" s="7"/>
      <c r="F22" s="7"/>
      <c r="G22" s="7"/>
      <c r="H22" s="7">
        <v>260</v>
      </c>
      <c r="I22" s="7"/>
      <c r="J22" s="44">
        <f>D22+F22+I22+E22+G22+H22</f>
        <v>260</v>
      </c>
      <c r="K22" s="46">
        <v>500</v>
      </c>
      <c r="L22" s="7"/>
      <c r="M22" s="33"/>
      <c r="N22" s="34">
        <f t="shared" si="1"/>
        <v>130000</v>
      </c>
      <c r="O22" s="223" t="s">
        <v>239</v>
      </c>
      <c r="P22" s="186"/>
    </row>
    <row r="23" spans="1:16" ht="16.5" x14ac:dyDescent="0.25">
      <c r="A23" s="29"/>
      <c r="B23" s="8" t="s">
        <v>53</v>
      </c>
      <c r="C23" s="8" t="s">
        <v>47</v>
      </c>
      <c r="D23" s="8">
        <f t="shared" ref="D23:N23" si="2">SUM(D5:D22)</f>
        <v>0</v>
      </c>
      <c r="E23" s="8">
        <f t="shared" si="2"/>
        <v>0</v>
      </c>
      <c r="F23" s="8">
        <f t="shared" si="2"/>
        <v>2020</v>
      </c>
      <c r="G23" s="8">
        <f t="shared" si="2"/>
        <v>0</v>
      </c>
      <c r="H23" s="8">
        <f t="shared" si="2"/>
        <v>516</v>
      </c>
      <c r="I23" s="8">
        <f t="shared" si="2"/>
        <v>568</v>
      </c>
      <c r="J23" s="9">
        <f t="shared" si="2"/>
        <v>3104</v>
      </c>
      <c r="K23" s="10">
        <f t="shared" si="2"/>
        <v>106560</v>
      </c>
      <c r="L23" s="10">
        <f t="shared" si="2"/>
        <v>25000</v>
      </c>
      <c r="M23" s="11">
        <f t="shared" si="2"/>
        <v>0</v>
      </c>
      <c r="N23" s="12">
        <f t="shared" si="2"/>
        <v>1691400</v>
      </c>
    </row>
    <row r="25" spans="1:16" x14ac:dyDescent="0.25">
      <c r="J25" s="5">
        <f>D23+F23+G23+I23+E23+H23</f>
        <v>3104</v>
      </c>
      <c r="N25" s="31"/>
    </row>
    <row r="26" spans="1:16" x14ac:dyDescent="0.25">
      <c r="N26" s="41">
        <f>SUM(N5:N22)</f>
        <v>1691400</v>
      </c>
    </row>
    <row r="28" spans="1:16" x14ac:dyDescent="0.25">
      <c r="N28" s="31"/>
    </row>
    <row r="29" spans="1:16" x14ac:dyDescent="0.25">
      <c r="M29" s="28"/>
      <c r="N29" s="28"/>
    </row>
    <row r="30" spans="1:16" ht="18.75" x14ac:dyDescent="0.3">
      <c r="C30" s="18">
        <f>N23/J23</f>
        <v>544.90979381443299</v>
      </c>
      <c r="M30" s="28"/>
      <c r="N30" s="28"/>
    </row>
    <row r="31" spans="1:16" x14ac:dyDescent="0.25">
      <c r="M31" s="28"/>
      <c r="N31" s="28"/>
    </row>
    <row r="32" spans="1:16" x14ac:dyDescent="0.25">
      <c r="M32" s="28"/>
      <c r="N32" s="28"/>
    </row>
    <row r="33" spans="2:21" x14ac:dyDescent="0.25">
      <c r="M33" s="28"/>
      <c r="N33" s="28"/>
    </row>
    <row r="34" spans="2:21" x14ac:dyDescent="0.25">
      <c r="B34" s="6" t="str">
        <f>D3</f>
        <v>склад</v>
      </c>
      <c r="C34" s="13">
        <f>C30*D23</f>
        <v>0</v>
      </c>
      <c r="M34" s="28"/>
      <c r="N34" s="28"/>
    </row>
    <row r="35" spans="2:21" x14ac:dyDescent="0.25">
      <c r="B35" s="6" t="str">
        <f>E4</f>
        <v>заречье</v>
      </c>
      <c r="C35" s="13">
        <f>C30*E23</f>
        <v>0</v>
      </c>
      <c r="M35" s="28"/>
      <c r="N35" s="28"/>
    </row>
    <row r="36" spans="2:21" x14ac:dyDescent="0.25">
      <c r="B36" s="6" t="str">
        <f>F4</f>
        <v>КУНЦЕВО</v>
      </c>
      <c r="C36" s="13">
        <f>C30*F23</f>
        <v>1100717.7835051545</v>
      </c>
      <c r="M36" s="28"/>
      <c r="N36" s="28"/>
    </row>
    <row r="37" spans="2:21" x14ac:dyDescent="0.25">
      <c r="B37" s="6" t="str">
        <f>G3</f>
        <v>Зареченские дачи</v>
      </c>
      <c r="C37" s="13">
        <f>C30*G23</f>
        <v>0</v>
      </c>
      <c r="M37" s="28"/>
      <c r="N37" s="28"/>
    </row>
    <row r="38" spans="2:21" x14ac:dyDescent="0.25">
      <c r="B38" s="6" t="str">
        <f>H3</f>
        <v>Ветклиника</v>
      </c>
      <c r="C38" s="13">
        <f>C30*H23</f>
        <v>281173.45360824739</v>
      </c>
      <c r="M38" s="28"/>
      <c r="N38" s="28"/>
    </row>
    <row r="39" spans="2:21" x14ac:dyDescent="0.25">
      <c r="B39" s="6" t="str">
        <f>I3</f>
        <v xml:space="preserve">Эксплуатация </v>
      </c>
      <c r="C39" s="13">
        <f>C30*I23</f>
        <v>309508.76288659795</v>
      </c>
      <c r="M39" s="28"/>
      <c r="N39" s="28"/>
    </row>
    <row r="40" spans="2:21" x14ac:dyDescent="0.25">
      <c r="B40" s="14"/>
      <c r="C40" s="30">
        <f>SUM(C34:C39)</f>
        <v>1691400</v>
      </c>
      <c r="M40" s="28"/>
      <c r="N40" s="28"/>
    </row>
    <row r="41" spans="2:21" x14ac:dyDescent="0.25">
      <c r="J41" s="28"/>
      <c r="K41" s="28"/>
      <c r="L41" s="28"/>
    </row>
    <row r="42" spans="2:21" x14ac:dyDescent="0.25">
      <c r="J42" s="28"/>
      <c r="K42" s="28"/>
      <c r="L42" s="28"/>
    </row>
    <row r="43" spans="2:21" x14ac:dyDescent="0.25">
      <c r="J43" s="28"/>
      <c r="K43" s="28"/>
      <c r="L43" s="28"/>
    </row>
    <row r="44" spans="2:21" hidden="1" x14ac:dyDescent="0.25">
      <c r="J44" s="28"/>
      <c r="K44" s="28"/>
      <c r="L44" s="28"/>
    </row>
    <row r="45" spans="2:21" x14ac:dyDescent="0.25">
      <c r="J45" s="28"/>
      <c r="K45" s="28"/>
      <c r="L45" s="28"/>
      <c r="M45" s="5"/>
      <c r="U45" s="19"/>
    </row>
    <row r="48" spans="2:21" x14ac:dyDescent="0.25">
      <c r="M48" s="28"/>
      <c r="N48" s="28"/>
      <c r="O48" s="28"/>
      <c r="P48" s="28"/>
      <c r="Q48" s="28"/>
      <c r="R48" s="28"/>
      <c r="S48" s="28"/>
      <c r="T48" s="28"/>
    </row>
    <row r="49" spans="9:22" x14ac:dyDescent="0.25">
      <c r="M49" s="28"/>
      <c r="N49" s="28"/>
      <c r="O49" s="28"/>
      <c r="P49" s="28"/>
      <c r="Q49" s="28"/>
      <c r="R49" s="28"/>
      <c r="S49" s="28"/>
      <c r="T49" s="28"/>
    </row>
    <row r="50" spans="9:22" x14ac:dyDescent="0.25">
      <c r="M50" s="28"/>
      <c r="N50" s="28"/>
      <c r="O50" s="28"/>
      <c r="P50" s="28"/>
      <c r="Q50" s="28"/>
      <c r="R50" s="28"/>
      <c r="S50" s="28"/>
      <c r="T50" s="28"/>
    </row>
    <row r="51" spans="9:22" x14ac:dyDescent="0.25">
      <c r="M51" s="28"/>
      <c r="N51" s="28"/>
      <c r="O51" s="28"/>
      <c r="P51" s="28"/>
      <c r="Q51" s="28"/>
      <c r="R51" s="28"/>
      <c r="S51" s="28"/>
      <c r="T51" s="28"/>
    </row>
    <row r="52" spans="9:22" x14ac:dyDescent="0.25">
      <c r="M52" s="28"/>
      <c r="N52" s="28"/>
      <c r="O52" s="28"/>
      <c r="P52" s="28"/>
      <c r="Q52" s="28"/>
      <c r="R52" s="28"/>
      <c r="S52" s="28"/>
      <c r="T52" s="28"/>
      <c r="U52" s="17"/>
    </row>
    <row r="53" spans="9:22" x14ac:dyDescent="0.25">
      <c r="M53" s="28"/>
      <c r="N53" s="28"/>
      <c r="O53" s="28"/>
      <c r="P53" s="28"/>
      <c r="Q53" s="28"/>
      <c r="R53" s="28"/>
      <c r="S53" s="28"/>
      <c r="T53" s="28"/>
    </row>
    <row r="54" spans="9:22" x14ac:dyDescent="0.25">
      <c r="M54" s="28"/>
      <c r="N54" s="28"/>
      <c r="O54" s="28"/>
      <c r="P54" s="28"/>
      <c r="Q54" s="28"/>
      <c r="R54" s="28"/>
      <c r="S54" s="28"/>
      <c r="T54" s="28"/>
    </row>
    <row r="55" spans="9:22" ht="14.25" customHeight="1" x14ac:dyDescent="0.25">
      <c r="M55" s="28"/>
      <c r="N55" s="28"/>
      <c r="O55" s="28"/>
      <c r="P55" s="28"/>
      <c r="Q55" s="28"/>
      <c r="R55" s="28"/>
      <c r="S55" s="28"/>
      <c r="T55" s="28"/>
    </row>
    <row r="56" spans="9:22" hidden="1" x14ac:dyDescent="0.25">
      <c r="M56" s="28"/>
      <c r="N56" s="28"/>
      <c r="O56" s="28"/>
      <c r="P56" s="28"/>
      <c r="Q56" s="28"/>
      <c r="R56" s="28"/>
      <c r="S56" s="28"/>
      <c r="T56" s="28"/>
    </row>
    <row r="57" spans="9:22" x14ac:dyDescent="0.25">
      <c r="M57" s="28"/>
      <c r="N57" s="28"/>
      <c r="O57" s="28"/>
      <c r="P57" s="28"/>
      <c r="Q57" s="28"/>
      <c r="R57" s="28"/>
      <c r="S57" s="28"/>
      <c r="T57" s="28"/>
    </row>
    <row r="58" spans="9:22" x14ac:dyDescent="0.25">
      <c r="O58" s="28"/>
      <c r="P58" s="28"/>
      <c r="Q58" s="28"/>
      <c r="R58" s="28"/>
      <c r="S58" s="28"/>
      <c r="T58" s="28"/>
      <c r="U58" s="28"/>
      <c r="V58" s="28"/>
    </row>
    <row r="59" spans="9:22" x14ac:dyDescent="0.25">
      <c r="O59" s="28"/>
      <c r="P59" s="28"/>
      <c r="Q59" s="28"/>
      <c r="R59" s="28"/>
      <c r="S59" s="28"/>
      <c r="T59" s="28"/>
      <c r="U59" s="28"/>
      <c r="V59" s="28"/>
    </row>
    <row r="60" spans="9:22" x14ac:dyDescent="0.25">
      <c r="O60" s="28"/>
      <c r="P60" s="28"/>
      <c r="Q60" s="28"/>
      <c r="R60" s="28"/>
      <c r="S60" s="28"/>
      <c r="T60" s="28"/>
      <c r="U60" s="28"/>
      <c r="V60" s="28"/>
    </row>
    <row r="61" spans="9:22" x14ac:dyDescent="0.25">
      <c r="I61" s="28"/>
      <c r="J61" s="28"/>
      <c r="K61" s="28"/>
      <c r="L61" s="28"/>
      <c r="M61" s="28"/>
      <c r="N61" s="28"/>
      <c r="O61" s="28"/>
      <c r="P61" s="28"/>
    </row>
    <row r="62" spans="9:22" x14ac:dyDescent="0.25">
      <c r="I62" s="28"/>
      <c r="J62" s="28"/>
      <c r="K62" s="28"/>
      <c r="L62" s="28"/>
      <c r="M62" s="28"/>
      <c r="N62" s="28"/>
      <c r="O62" s="28"/>
      <c r="P62" s="28"/>
    </row>
  </sheetData>
  <mergeCells count="14">
    <mergeCell ref="A1:P2"/>
    <mergeCell ref="A3:A4"/>
    <mergeCell ref="B3:B4"/>
    <mergeCell ref="C3:C4"/>
    <mergeCell ref="D3:D4"/>
    <mergeCell ref="E3:F3"/>
    <mergeCell ref="G3:G4"/>
    <mergeCell ref="I3:I4"/>
    <mergeCell ref="N3:N4"/>
    <mergeCell ref="J3:J4"/>
    <mergeCell ref="K3:K4"/>
    <mergeCell ref="M3:M4"/>
    <mergeCell ref="L3:L4"/>
    <mergeCell ref="H3:H4"/>
  </mergeCells>
  <phoneticPr fontId="2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ВСЕГО</vt:lpstr>
      <vt:lpstr>Свод по СМР</vt:lpstr>
      <vt:lpstr>Иностранцы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2026-01-21T13:46:25Z</dcterms:modified>
</cp:coreProperties>
</file>